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dspipe.sharepoint.com/sites/peitechnicalsupport/Shared Documents/State Spreadsheet Calculators/AeroFin/Maine/"/>
    </mc:Choice>
  </mc:AlternateContent>
  <xr:revisionPtr revIDLastSave="28" documentId="8_{CBF27108-C549-45BA-8481-0ABB94435081}" xr6:coauthVersionLast="47" xr6:coauthVersionMax="47" xr10:uidLastSave="{6276B595-1BD1-4BCD-BC06-5809FB5D3C5A}"/>
  <bookViews>
    <workbookView xWindow="3120" yWindow="90" windowWidth="21960" windowHeight="15510" xr2:uid="{F11710E3-5664-4E1D-85E0-E1741FB7640D}"/>
  </bookViews>
  <sheets>
    <sheet name="Design" sheetId="1" r:id="rId1"/>
    <sheet name="Elevations" sheetId="4" r:id="rId2"/>
    <sheet name="Profile→SLR" sheetId="3" state="hidden" r:id="rId3"/>
  </sheets>
  <definedNames>
    <definedName name="BottHighestRow">Elevations!$C$4</definedName>
    <definedName name="Commercial">Design!$D$3</definedName>
    <definedName name="ConduitReqd">Design!$D$13</definedName>
    <definedName name="DailyFlow">Design!$D$6</definedName>
    <definedName name="Difference">Design!$J$33:$J$49</definedName>
    <definedName name="Layout">Design!$D$4</definedName>
    <definedName name="NumManifolds">Design!$D$28</definedName>
    <definedName name="NumRows">Design!$D$18</definedName>
    <definedName name="PercRate">Design!$D$7</definedName>
    <definedName name="PLW">Design!$D$21</definedName>
    <definedName name="ProfileToSLR">Profile→SLR!$B$4:$C$12</definedName>
    <definedName name="Pumping">Design!$D$9</definedName>
    <definedName name="RowLength">Design!$D$8</definedName>
    <definedName name="RowPerSection">Design!$D$17</definedName>
    <definedName name="SandAreaReqd">Design!$D$19</definedName>
    <definedName name="SandBedLength">Design!$D$11</definedName>
    <definedName name="SandBedWidthMin">Design!$D$20</definedName>
    <definedName name="SandExt">Design!$D$23</definedName>
    <definedName name="SandMultiplier">Design!$D$25</definedName>
    <definedName name="SectionsReqd">Design!$D$15</definedName>
    <definedName name="SectionsUsed">Design!$D$16</definedName>
    <definedName name="SectionsUsedTable">Design!$B$33:$G$49</definedName>
    <definedName name="SectTableTest4Even">Design!$H$33:$H$49</definedName>
    <definedName name="SLR">Design!$D$12</definedName>
    <definedName name="SystemSlope">Design!$D$5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E3" i="4"/>
  <c r="E4" i="4"/>
  <c r="E6" i="1" l="1"/>
  <c r="F29" i="4"/>
  <c r="F30" i="4"/>
  <c r="F31" i="4"/>
  <c r="F32" i="4"/>
  <c r="F33" i="4"/>
  <c r="F34" i="4"/>
  <c r="F35" i="4"/>
  <c r="F36" i="4"/>
  <c r="F37" i="4"/>
  <c r="F38" i="4"/>
  <c r="F39" i="4"/>
  <c r="F4" i="4"/>
  <c r="G4" i="4"/>
  <c r="C8" i="4"/>
  <c r="C7" i="4"/>
  <c r="C5" i="4"/>
  <c r="C6" i="4" s="1"/>
  <c r="C9" i="4"/>
  <c r="C33" i="1" a="1"/>
  <c r="C33" i="1" s="1"/>
  <c r="D15" i="1" a="1"/>
  <c r="D15" i="1" s="1"/>
  <c r="E23" i="1" l="1"/>
  <c r="D13" i="1"/>
  <c r="D12" i="1"/>
  <c r="D19" i="1" s="1"/>
  <c r="D20" i="1" l="1" a="1"/>
  <c r="D20" i="1" s="1"/>
  <c r="F20" i="1" s="1"/>
  <c r="C34" i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D49" i="1" s="1"/>
  <c r="F49" i="1" s="1"/>
  <c r="D33" i="1"/>
  <c r="G49" i="1" l="1"/>
  <c r="H49" i="1" s="1"/>
  <c r="I49" i="1"/>
  <c r="J49" i="1" s="1"/>
  <c r="E33" i="1"/>
  <c r="F33" i="1" s="1"/>
  <c r="D43" i="1"/>
  <c r="F43" i="1" s="1"/>
  <c r="D44" i="1"/>
  <c r="F44" i="1" s="1"/>
  <c r="D39" i="1"/>
  <c r="F39" i="1" s="1"/>
  <c r="D35" i="1"/>
  <c r="F35" i="1" s="1"/>
  <c r="D41" i="1"/>
  <c r="F41" i="1" s="1"/>
  <c r="D46" i="1"/>
  <c r="F46" i="1" s="1"/>
  <c r="D38" i="1"/>
  <c r="F38" i="1" s="1"/>
  <c r="D42" i="1"/>
  <c r="F42" i="1" s="1"/>
  <c r="D37" i="1"/>
  <c r="F37" i="1" s="1"/>
  <c r="D45" i="1"/>
  <c r="F45" i="1" s="1"/>
  <c r="D47" i="1"/>
  <c r="F47" i="1" s="1"/>
  <c r="D48" i="1"/>
  <c r="F48" i="1" s="1"/>
  <c r="D34" i="1"/>
  <c r="F34" i="1" s="1"/>
  <c r="D36" i="1"/>
  <c r="F36" i="1" s="1"/>
  <c r="D40" i="1"/>
  <c r="F40" i="1" s="1"/>
  <c r="E49" i="1"/>
  <c r="G45" i="1" l="1"/>
  <c r="H45" i="1" s="1"/>
  <c r="G38" i="1"/>
  <c r="H38" i="1" s="1"/>
  <c r="G46" i="1"/>
  <c r="G47" i="1"/>
  <c r="G37" i="1"/>
  <c r="H37" i="1" s="1"/>
  <c r="G42" i="1"/>
  <c r="H42" i="1" s="1"/>
  <c r="G41" i="1"/>
  <c r="H41" i="1" s="1"/>
  <c r="G48" i="1"/>
  <c r="H48" i="1" s="1"/>
  <c r="G35" i="1"/>
  <c r="H35" i="1" s="1"/>
  <c r="G39" i="1"/>
  <c r="G44" i="1"/>
  <c r="G33" i="1"/>
  <c r="G36" i="1"/>
  <c r="H36" i="1" s="1"/>
  <c r="G43" i="1"/>
  <c r="H43" i="1" s="1"/>
  <c r="G40" i="1"/>
  <c r="H40" i="1" s="1"/>
  <c r="G34" i="1"/>
  <c r="I45" i="1"/>
  <c r="J45" i="1" s="1"/>
  <c r="I41" i="1"/>
  <c r="J41" i="1" s="1"/>
  <c r="I35" i="1"/>
  <c r="J35" i="1" s="1"/>
  <c r="I48" i="1"/>
  <c r="J48" i="1" s="1"/>
  <c r="I37" i="1"/>
  <c r="J37" i="1" s="1"/>
  <c r="I38" i="1"/>
  <c r="J38" i="1" s="1"/>
  <c r="I39" i="1"/>
  <c r="J39" i="1" s="1"/>
  <c r="I40" i="1"/>
  <c r="J40" i="1" s="1"/>
  <c r="I44" i="1"/>
  <c r="J44" i="1" s="1"/>
  <c r="I46" i="1"/>
  <c r="J46" i="1" s="1"/>
  <c r="I47" i="1"/>
  <c r="J47" i="1" s="1"/>
  <c r="I42" i="1"/>
  <c r="J42" i="1" s="1"/>
  <c r="I43" i="1"/>
  <c r="J43" i="1" s="1"/>
  <c r="I33" i="1"/>
  <c r="J33" i="1" s="1"/>
  <c r="I36" i="1"/>
  <c r="J36" i="1" s="1"/>
  <c r="I34" i="1"/>
  <c r="J34" i="1" s="1"/>
  <c r="E44" i="1"/>
  <c r="E39" i="1"/>
  <c r="E35" i="1"/>
  <c r="E41" i="1"/>
  <c r="E38" i="1"/>
  <c r="E46" i="1"/>
  <c r="E47" i="1"/>
  <c r="E36" i="1"/>
  <c r="E48" i="1"/>
  <c r="E40" i="1"/>
  <c r="E45" i="1"/>
  <c r="E43" i="1"/>
  <c r="E34" i="1"/>
  <c r="E37" i="1"/>
  <c r="E42" i="1"/>
  <c r="K33" i="1" l="1"/>
  <c r="H33" i="1"/>
  <c r="H44" i="1"/>
  <c r="H39" i="1"/>
  <c r="H47" i="1"/>
  <c r="H46" i="1"/>
  <c r="H34" i="1"/>
  <c r="K49" i="1"/>
  <c r="K44" i="1"/>
  <c r="K47" i="1"/>
  <c r="K40" i="1"/>
  <c r="K39" i="1"/>
  <c r="K46" i="1"/>
  <c r="K38" i="1"/>
  <c r="K43" i="1"/>
  <c r="K48" i="1"/>
  <c r="K42" i="1"/>
  <c r="K35" i="1"/>
  <c r="K37" i="1"/>
  <c r="K41" i="1"/>
  <c r="K45" i="1"/>
  <c r="K34" i="1"/>
  <c r="K36" i="1"/>
  <c r="L36" i="1" l="1"/>
  <c r="B36" i="1" s="1" a="1"/>
  <c r="B36" i="1" s="1"/>
  <c r="L47" i="1"/>
  <c r="B47" i="1" s="1" a="1"/>
  <c r="B47" i="1" s="1"/>
  <c r="L42" i="1"/>
  <c r="B42" i="1" s="1" a="1"/>
  <c r="B42" i="1" s="1"/>
  <c r="L40" i="1"/>
  <c r="B40" i="1" s="1" a="1"/>
  <c r="B40" i="1" s="1"/>
  <c r="L45" i="1"/>
  <c r="B45" i="1" s="1" a="1"/>
  <c r="B45" i="1" s="1"/>
  <c r="L38" i="1"/>
  <c r="B38" i="1" s="1" a="1"/>
  <c r="B38" i="1" s="1"/>
  <c r="L46" i="1"/>
  <c r="B46" i="1" s="1" a="1"/>
  <c r="B46" i="1" s="1"/>
  <c r="L49" i="1"/>
  <c r="B49" i="1" s="1" a="1"/>
  <c r="B49" i="1" s="1"/>
  <c r="L33" i="1"/>
  <c r="B33" i="1" s="1" a="1"/>
  <c r="B33" i="1" s="1"/>
  <c r="L39" i="1"/>
  <c r="B39" i="1" s="1" a="1"/>
  <c r="B39" i="1" s="1"/>
  <c r="L44" i="1"/>
  <c r="B44" i="1" s="1" a="1"/>
  <c r="B44" i="1" s="1"/>
  <c r="L37" i="1"/>
  <c r="B37" i="1" s="1" a="1"/>
  <c r="B37" i="1" s="1"/>
  <c r="L34" i="1"/>
  <c r="B34" i="1" s="1" a="1"/>
  <c r="B34" i="1" s="1"/>
  <c r="L43" i="1"/>
  <c r="B43" i="1" s="1" a="1"/>
  <c r="B43" i="1" s="1"/>
  <c r="L41" i="1"/>
  <c r="B41" i="1" s="1" a="1"/>
  <c r="B41" i="1" s="1"/>
  <c r="L48" i="1"/>
  <c r="B48" i="1" s="1" a="1"/>
  <c r="B48" i="1" s="1"/>
  <c r="L35" i="1"/>
  <c r="B35" i="1" s="1" a="1"/>
  <c r="B35" i="1" s="1"/>
  <c r="D16" i="1" l="1"/>
  <c r="D18" i="1" l="1" a="1"/>
  <c r="D18" i="1" s="1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C11" i="4"/>
  <c r="F5" i="4" l="1"/>
  <c r="G5" i="4" s="1"/>
  <c r="D14" i="1"/>
  <c r="D10" i="1" s="1"/>
  <c r="F8" i="1"/>
  <c r="D21" i="1"/>
  <c r="D22" i="1" s="1" a="1"/>
  <c r="D22" i="1" s="1"/>
  <c r="D28" i="1" a="1"/>
  <c r="D28" i="1" s="1"/>
  <c r="D29" i="1" s="1" a="1"/>
  <c r="D29" i="1" s="1"/>
  <c r="D17" i="1"/>
  <c r="C10" i="4"/>
  <c r="F6" i="4" l="1"/>
  <c r="G6" i="4" s="1"/>
  <c r="F22" i="1"/>
  <c r="F21" i="1"/>
  <c r="F7" i="4" l="1"/>
  <c r="F8" i="4" s="1"/>
  <c r="D24" i="1"/>
  <c r="D23" i="1"/>
  <c r="D26" i="1" s="1" a="1"/>
  <c r="D26" i="1" s="1"/>
  <c r="G7" i="4" l="1"/>
  <c r="G8" i="4"/>
  <c r="F9" i="4"/>
  <c r="F23" i="1"/>
  <c r="F26" i="1"/>
  <c r="G9" i="4" l="1"/>
  <c r="F10" i="4"/>
  <c r="F11" i="4" l="1"/>
  <c r="G10" i="4"/>
  <c r="G11" i="4" l="1"/>
  <c r="F12" i="4"/>
  <c r="F13" i="4" l="1"/>
  <c r="G12" i="4"/>
  <c r="F14" i="4" l="1"/>
  <c r="G13" i="4"/>
  <c r="G14" i="4" l="1"/>
  <c r="F15" i="4"/>
  <c r="F16" i="4" l="1"/>
  <c r="G15" i="4"/>
  <c r="F17" i="4" l="1"/>
  <c r="G16" i="4"/>
  <c r="G17" i="4" l="1"/>
  <c r="F18" i="4"/>
  <c r="G18" i="4" l="1"/>
  <c r="F19" i="4"/>
  <c r="G19" i="4" l="1"/>
  <c r="F20" i="4"/>
  <c r="G20" i="4" l="1"/>
  <c r="G21" i="4" s="1"/>
  <c r="G22" i="4" s="1"/>
  <c r="G23" i="4" s="1"/>
  <c r="G24" i="4" s="1"/>
  <c r="G25" i="4" s="1"/>
  <c r="G26" i="4" s="1"/>
  <c r="G27" i="4" s="1"/>
  <c r="G28" i="4" s="1"/>
  <c r="F21" i="4"/>
  <c r="F22" i="4" s="1"/>
  <c r="F23" i="4" s="1"/>
  <c r="F24" i="4" s="1"/>
  <c r="F25" i="4" s="1"/>
  <c r="F26" i="4" s="1"/>
  <c r="F27" i="4" s="1"/>
  <c r="F2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Dennis Fogg</author>
  </authors>
  <commentList>
    <comment ref="D3" authorId="0" shapeId="0" xr:uid="{68B9C055-15FC-4B15-86AC-514550C495EF}">
      <text>
        <r>
          <rPr>
            <b/>
            <sz val="9"/>
            <color indexed="81"/>
            <rFont val="Tahoma"/>
            <family val="2"/>
          </rPr>
          <t>Will use gallons per day for calculating AeroFin conduit and sand bed area required if (Y).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b/>
            <sz val="9"/>
            <color indexed="81"/>
            <rFont val="Tahoma"/>
            <family val="2"/>
          </rPr>
          <t>Contact technical support for high strength wastewater.</t>
        </r>
      </text>
    </comment>
    <comment ref="D8" authorId="0" shapeId="0" xr:uid="{EE53D78F-C10A-4388-87E8-F275C903CEE3}">
      <text>
        <r>
          <rPr>
            <b/>
            <sz val="9"/>
            <color indexed="81"/>
            <rFont val="Tahoma"/>
            <charset val="1"/>
          </rPr>
          <t>The background color of this cell will turn light green if the row length is divisible by 4-ft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8" authorId="0" shapeId="0" xr:uid="{8303B11B-FEF6-449B-B000-6EB877B5D2E5}">
      <text>
        <r>
          <rPr>
            <b/>
            <sz val="9"/>
            <color indexed="81"/>
            <rFont val="Tahoma"/>
            <charset val="1"/>
          </rPr>
          <t>This row length will provide the need pipe for the number of rows shown.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1" authorId="0" shapeId="0" xr:uid="{5335B11E-E42C-4B1D-BBCE-842A3AD4D28E}">
      <text>
        <r>
          <rPr>
            <b/>
            <sz val="9"/>
            <color indexed="81"/>
            <rFont val="Tahoma"/>
            <charset val="1"/>
          </rPr>
          <t>This is the outer most dimension from the first row to the last.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2" authorId="0" shapeId="0" xr:uid="{B6BF52F5-7A0D-4ADA-91B1-165C904F7E88}">
      <text>
        <r>
          <rPr>
            <b/>
            <sz val="9"/>
            <color indexed="81"/>
            <rFont val="Tahoma"/>
            <family val="2"/>
          </rPr>
          <t>You can overwrite this cell to use a sand bed width of your choosing. Be sure it is greater than the minimum sand bed width required!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To undo your overwrite, press CTRL-Z</t>
        </r>
      </text>
    </comment>
    <comment ref="D25" authorId="0" shapeId="0" xr:uid="{1EFEF617-74B0-4250-91FE-B8EBAA30F325}">
      <text>
        <r>
          <rPr>
            <b/>
            <sz val="9"/>
            <color indexed="81"/>
            <rFont val="Tahoma"/>
            <charset val="1"/>
          </rPr>
          <t>This number is multiplied by the Estimated Sand Volume and acts as a factor of safety. It cannot be less than 1.00</t>
        </r>
      </text>
    </comment>
    <comment ref="F26" authorId="0" shapeId="0" xr:uid="{1CA96DAA-DC24-4428-A089-4DD171794F9C}">
      <text>
        <r>
          <rPr>
            <b/>
            <sz val="9"/>
            <color indexed="81"/>
            <rFont val="Tahoma"/>
            <charset val="1"/>
          </rPr>
          <t>Multiplies the Estimated Sand Volume by 1.5 to obtain tonnage.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<sst xmlns="http://schemas.openxmlformats.org/spreadsheetml/2006/main" count="80" uniqueCount="68">
  <si>
    <r>
      <t>Maine AeroFin</t>
    </r>
    <r>
      <rPr>
        <b/>
        <vertAlign val="superscript"/>
        <sz val="20"/>
        <color theme="4" tint="-0.249977111117893"/>
        <rFont val="Arial Rounded MT Bold"/>
        <family val="2"/>
      </rPr>
      <t>®</t>
    </r>
  </si>
  <si>
    <t>Gallons per Day (Y/N) =</t>
  </si>
  <si>
    <t>N</t>
  </si>
  <si>
    <t>Parallel or Serial Layout (P/S) =</t>
  </si>
  <si>
    <t>P</t>
  </si>
  <si>
    <t>System Slope =</t>
  </si>
  <si>
    <t>%</t>
  </si>
  <si>
    <t>Daily Design Flow =</t>
  </si>
  <si>
    <t>Soil Profile =</t>
  </si>
  <si>
    <t>Conduit Row Length =</t>
  </si>
  <si>
    <t>ft</t>
  </si>
  <si>
    <t>ft-best fit</t>
  </si>
  <si>
    <t>Pumping (Y,N) =</t>
  </si>
  <si>
    <t>Recommended Dose =</t>
  </si>
  <si>
    <t>gallons-max</t>
  </si>
  <si>
    <t>Sand Bed Length =</t>
  </si>
  <si>
    <t>Soil Loading Rate =</t>
  </si>
  <si>
    <t>GPD/ft²</t>
  </si>
  <si>
    <t>Conduit Pipe Required =</t>
  </si>
  <si>
    <t>ft-min</t>
  </si>
  <si>
    <t>Conduit Pipe Provided =</t>
  </si>
  <si>
    <t>Serial Sections =</t>
  </si>
  <si>
    <t>min</t>
  </si>
  <si>
    <t>used</t>
  </si>
  <si>
    <t>Rows per Serial Section =</t>
  </si>
  <si>
    <t>Number of Rows Provided =</t>
  </si>
  <si>
    <t>Sand Bed Area Required =</t>
  </si>
  <si>
    <t>ft²</t>
  </si>
  <si>
    <t>Sand Bed Width =</t>
  </si>
  <si>
    <t>ft-inches</t>
  </si>
  <si>
    <t>Pipe Layout Width =</t>
  </si>
  <si>
    <t>Sand Bed Width Provided =</t>
  </si>
  <si>
    <t>Sand Extension =</t>
  </si>
  <si>
    <t>Sand Bed Area Provided =</t>
  </si>
  <si>
    <t>Sand Volume Multiplier =</t>
  </si>
  <si>
    <t>Estimated Sand Volume =</t>
  </si>
  <si>
    <t>CY±</t>
  </si>
  <si>
    <t>ton±</t>
  </si>
  <si>
    <t>Infiltrator Products:</t>
  </si>
  <si>
    <t>AeroFin® Manifolds Required =</t>
  </si>
  <si>
    <t>AeroFin® Endcaps Required =</t>
  </si>
  <si>
    <t>Test</t>
  </si>
  <si>
    <t xml:space="preserve">Serial Sections </t>
  </si>
  <si>
    <t>Rows per Section</t>
  </si>
  <si>
    <t>Even</t>
  </si>
  <si>
    <t>Total # Rows</t>
  </si>
  <si>
    <t>test for even</t>
  </si>
  <si>
    <t>test for&gt;0</t>
  </si>
  <si>
    <t>total pipe used</t>
  </si>
  <si>
    <t>diff from req'd</t>
  </si>
  <si>
    <t>Smallest diff</t>
  </si>
  <si>
    <t>Smallest # Rows</t>
  </si>
  <si>
    <t>ELEVATIONS</t>
  </si>
  <si>
    <t>Attribute</t>
  </si>
  <si>
    <t>Elevation</t>
  </si>
  <si>
    <t>CONDUIT BOTTOM</t>
  </si>
  <si>
    <t>ENTER MANIFOLD</t>
  </si>
  <si>
    <t>Bottom of Highest AeroFin® Row =</t>
  </si>
  <si>
    <t>Top of AeroFin® Pipe =</t>
  </si>
  <si>
    <t>Finish Grade =</t>
  </si>
  <si>
    <t>Bottom of Sand Bed =</t>
  </si>
  <si>
    <t>Bed Layout (Parallel/Serial) =</t>
  </si>
  <si>
    <t>Slope =</t>
  </si>
  <si>
    <t>Number of Conduit Rows =</t>
  </si>
  <si>
    <t>Number of Serial Sections Used =</t>
  </si>
  <si>
    <t>Soil Profile</t>
  </si>
  <si>
    <t>Soil Loading Rate
(GPD/Ft²)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</si>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</sst>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00"/>
    <numFmt numFmtId="166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20"/>
      <color theme="4" tint="-0.249977111117893"/>
      <name val="Arial Rounded MT Bold"/>
      <family val="2"/>
    </font>
    <font>
      <b/>
      <vertAlign val="superscript"/>
      <sz val="20"/>
      <color theme="4" tint="-0.249977111117893"/>
      <name val="Arial Rounded MT Bold"/>
      <family val="2"/>
    </font>
    <font>
      <b/>
      <sz val="11"/>
      <color theme="1"/>
      <name val="Calibri"/>
      <family val="2"/>
      <scheme val="minor"/>
    </font>
    <font>
      <sz val="14"/>
      <color theme="0" tint="-0.149998474074526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EBF7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5" fillId="0" borderId="0" xfId="0" applyFont="1"/>
    <xf numFmtId="165" fontId="0" fillId="0" borderId="0" xfId="0" applyNumberFormat="1"/>
    <xf numFmtId="0" fontId="5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/>
    <xf numFmtId="0" fontId="5" fillId="0" borderId="7" xfId="0" applyFont="1" applyBorder="1"/>
    <xf numFmtId="165" fontId="5" fillId="0" borderId="7" xfId="0" applyNumberFormat="1" applyFont="1" applyBorder="1"/>
    <xf numFmtId="2" fontId="5" fillId="0" borderId="7" xfId="0" applyNumberFormat="1" applyFont="1" applyBorder="1"/>
    <xf numFmtId="0" fontId="5" fillId="0" borderId="9" xfId="0" applyFont="1" applyBorder="1"/>
    <xf numFmtId="0" fontId="5" fillId="3" borderId="11" xfId="0" applyFont="1" applyFill="1" applyBorder="1" applyAlignment="1">
      <alignment horizontal="center"/>
    </xf>
    <xf numFmtId="0" fontId="5" fillId="0" borderId="13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5" fillId="0" borderId="15" xfId="0" applyFont="1" applyBorder="1" applyAlignment="1">
      <alignment horizontal="right"/>
    </xf>
    <xf numFmtId="0" fontId="5" fillId="4" borderId="13" xfId="0" applyFont="1" applyFill="1" applyBorder="1" applyAlignment="1">
      <alignment horizontal="right"/>
    </xf>
    <xf numFmtId="0" fontId="5" fillId="4" borderId="14" xfId="0" applyFont="1" applyFill="1" applyBorder="1" applyAlignment="1">
      <alignment horizontal="right"/>
    </xf>
    <xf numFmtId="0" fontId="5" fillId="4" borderId="15" xfId="0" applyFont="1" applyFill="1" applyBorder="1" applyAlignment="1">
      <alignment horizontal="right"/>
    </xf>
    <xf numFmtId="0" fontId="5" fillId="0" borderId="3" xfId="0" applyFont="1" applyBorder="1"/>
    <xf numFmtId="2" fontId="5" fillId="0" borderId="1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/>
    </xf>
    <xf numFmtId="2" fontId="5" fillId="2" borderId="19" xfId="0" applyNumberFormat="1" applyFont="1" applyFill="1" applyBorder="1" applyProtection="1">
      <protection locked="0"/>
    </xf>
    <xf numFmtId="0" fontId="5" fillId="5" borderId="4" xfId="0" applyFont="1" applyFill="1" applyBorder="1" applyAlignment="1">
      <alignment horizontal="right"/>
    </xf>
    <xf numFmtId="0" fontId="5" fillId="5" borderId="5" xfId="0" applyFont="1" applyFill="1" applyBorder="1"/>
    <xf numFmtId="0" fontId="5" fillId="4" borderId="18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8" xfId="0" applyFont="1" applyFill="1" applyBorder="1" applyAlignment="1">
      <alignment horizontal="right"/>
    </xf>
    <xf numFmtId="0" fontId="5" fillId="4" borderId="20" xfId="0" applyFont="1" applyFill="1" applyBorder="1" applyAlignment="1">
      <alignment horizontal="right"/>
    </xf>
    <xf numFmtId="0" fontId="5" fillId="4" borderId="23" xfId="0" applyFont="1" applyFill="1" applyBorder="1" applyAlignment="1">
      <alignment horizontal="right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7" fillId="5" borderId="21" xfId="0" applyFont="1" applyFill="1" applyBorder="1" applyAlignment="1">
      <alignment horizontal="center"/>
    </xf>
    <xf numFmtId="0" fontId="7" fillId="5" borderId="22" xfId="0" applyFont="1" applyFill="1" applyBorder="1" applyAlignment="1">
      <alignment horizontal="center"/>
    </xf>
    <xf numFmtId="166" fontId="6" fillId="0" borderId="16" xfId="0" applyNumberFormat="1" applyFont="1" applyBorder="1" applyAlignment="1">
      <alignment horizontal="center" vertical="center" textRotation="90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3" fontId="5" fillId="2" borderId="11" xfId="0" applyNumberFormat="1" applyFont="1" applyFill="1" applyBorder="1" applyAlignment="1" applyProtection="1">
      <alignment horizontal="center"/>
      <protection locked="0"/>
    </xf>
    <xf numFmtId="0" fontId="5" fillId="0" borderId="11" xfId="0" applyFont="1" applyBorder="1" applyAlignment="1">
      <alignment horizontal="center"/>
    </xf>
    <xf numFmtId="3" fontId="5" fillId="0" borderId="11" xfId="0" applyNumberFormat="1" applyFont="1" applyBorder="1" applyAlignment="1">
      <alignment horizontal="center"/>
    </xf>
    <xf numFmtId="164" fontId="5" fillId="0" borderId="11" xfId="1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2" fontId="5" fillId="0" borderId="11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  <color rgb="FFDDE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323851</xdr:colOff>
      <xdr:row>2</xdr:row>
      <xdr:rowOff>9525</xdr:rowOff>
    </xdr:from>
    <xdr:to>
      <xdr:col>15</xdr:col>
      <xdr:colOff>409577</xdr:colOff>
      <xdr:row>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D27BF4-1A26-DAE7-FEE3-A37E2AF3F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2151" y="390525"/>
          <a:ext cx="7400926" cy="16573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D884E-D584-458F-9864-AA5A72C50932}">
  <sheetPr codeName="Sheet1">
    <tabColor theme="8" tint="0.39997558519241921"/>
  </sheetPr>
  <dimension ref="B1:O49"/>
  <sheetViews>
    <sheetView tabSelected="1" zoomScale="115" zoomScaleNormal="115" workbookViewId="0">
      <selection activeCell="D6" sqref="D6"/>
    </sheetView>
  </sheetViews>
  <sheetFormatPr defaultRowHeight="15" x14ac:dyDescent="0.25"/>
  <cols>
    <col min="2" max="2" width="3.140625" customWidth="1"/>
    <col min="3" max="3" width="28.7109375" style="1" customWidth="1"/>
    <col min="4" max="4" width="9.7109375" style="2" customWidth="1"/>
    <col min="5" max="5" width="13.140625" customWidth="1"/>
    <col min="6" max="6" width="12.5703125" customWidth="1"/>
    <col min="7" max="7" width="10" customWidth="1"/>
    <col min="8" max="8" width="12.5703125" customWidth="1"/>
    <col min="10" max="10" width="31.85546875" customWidth="1"/>
    <col min="13" max="13" width="11" customWidth="1"/>
    <col min="14" max="14" width="10.28515625" customWidth="1"/>
    <col min="15" max="15" width="10.7109375" customWidth="1"/>
  </cols>
  <sheetData>
    <row r="1" spans="3:15" ht="15.75" thickBot="1" x14ac:dyDescent="0.3">
      <c r="C1" s="55"/>
      <c r="D1" s="55"/>
      <c r="J1" s="13"/>
      <c r="K1" s="14"/>
    </row>
    <row r="2" spans="3:15" ht="33" customHeight="1" thickBot="1" x14ac:dyDescent="0.3">
      <c r="C2" s="53" t="s">
        <v>0</v>
      </c>
      <c r="D2" s="54"/>
      <c r="J2" s="1"/>
      <c r="K2" s="18"/>
      <c r="M2" s="47"/>
      <c r="N2" s="47"/>
      <c r="O2" s="47"/>
    </row>
    <row r="3" spans="3:15" ht="15" customHeight="1" x14ac:dyDescent="0.25">
      <c r="C3" s="30" t="s">
        <v>1</v>
      </c>
      <c r="D3" s="44" t="s">
        <v>2</v>
      </c>
      <c r="J3" s="1"/>
      <c r="K3" s="15"/>
      <c r="M3" s="16"/>
      <c r="N3" s="16"/>
      <c r="O3" s="16"/>
    </row>
    <row r="4" spans="3:15" x14ac:dyDescent="0.25">
      <c r="C4" s="31" t="s">
        <v>3</v>
      </c>
      <c r="D4" s="45" t="s">
        <v>4</v>
      </c>
      <c r="J4" s="1"/>
      <c r="M4" s="4"/>
      <c r="N4" s="17"/>
      <c r="O4" s="17"/>
    </row>
    <row r="5" spans="3:15" x14ac:dyDescent="0.25">
      <c r="C5" s="31" t="s">
        <v>5</v>
      </c>
      <c r="D5" s="57">
        <v>0</v>
      </c>
      <c r="E5" s="8" t="s">
        <v>6</v>
      </c>
      <c r="F5" s="14"/>
      <c r="G5" s="14"/>
      <c r="J5" s="1"/>
      <c r="K5" s="18"/>
      <c r="M5" s="4"/>
      <c r="N5" s="17"/>
      <c r="O5" s="17"/>
    </row>
    <row r="6" spans="3:15" x14ac:dyDescent="0.25">
      <c r="C6" s="31" t="s">
        <v>7</v>
      </c>
      <c r="D6" s="58">
        <v>3</v>
      </c>
      <c r="E6" s="14" t="str">
        <f>IF(Commercial = "Y", "GPD", "Bedrooms")</f>
        <v>Bedrooms</v>
      </c>
      <c r="F6" s="14"/>
      <c r="G6" s="14"/>
      <c r="J6" s="1"/>
      <c r="K6" s="19"/>
      <c r="M6" s="4"/>
      <c r="N6" s="17"/>
      <c r="O6" s="17"/>
    </row>
    <row r="7" spans="3:15" ht="15.75" thickBot="1" x14ac:dyDescent="0.3">
      <c r="C7" s="31" t="s">
        <v>8</v>
      </c>
      <c r="D7" s="45">
        <v>3</v>
      </c>
      <c r="E7" s="14"/>
      <c r="F7" s="14"/>
      <c r="G7" s="14"/>
      <c r="J7" s="1"/>
      <c r="M7" s="4"/>
      <c r="N7" s="17"/>
      <c r="O7" s="17"/>
    </row>
    <row r="8" spans="3:15" ht="15.75" thickBot="1" x14ac:dyDescent="0.3">
      <c r="C8" s="31" t="s">
        <v>9</v>
      </c>
      <c r="D8" s="45">
        <v>20</v>
      </c>
      <c r="E8" s="14" t="s">
        <v>10</v>
      </c>
      <c r="F8" s="33">
        <f>CEILING(ConduitReqd/NumRows,0.001)</f>
        <v>20</v>
      </c>
      <c r="G8" s="14" t="s">
        <v>11</v>
      </c>
      <c r="J8" s="1"/>
      <c r="M8" s="4"/>
      <c r="N8" s="17"/>
      <c r="O8" s="17"/>
    </row>
    <row r="9" spans="3:15" x14ac:dyDescent="0.25">
      <c r="C9" s="31" t="s">
        <v>12</v>
      </c>
      <c r="D9" s="46" t="s">
        <v>67</v>
      </c>
      <c r="E9" s="14"/>
      <c r="F9" s="14"/>
      <c r="G9" s="14"/>
      <c r="J9" s="1"/>
      <c r="M9" s="4"/>
      <c r="N9" s="17"/>
      <c r="O9" s="17"/>
    </row>
    <row r="10" spans="3:15" x14ac:dyDescent="0.25">
      <c r="C10" s="31" t="s">
        <v>13</v>
      </c>
      <c r="D10" s="26">
        <f>IF(Pumping="Y",0.25*D14,"N/A")</f>
        <v>60</v>
      </c>
      <c r="E10" s="14" t="s">
        <v>14</v>
      </c>
      <c r="F10" s="14"/>
      <c r="G10" s="14"/>
      <c r="M10" s="4"/>
      <c r="N10" s="17"/>
      <c r="O10" s="17"/>
    </row>
    <row r="11" spans="3:15" x14ac:dyDescent="0.25">
      <c r="C11" s="31" t="s">
        <v>15</v>
      </c>
      <c r="D11" s="59">
        <f>IF(Layout="P",RowLength+1,RowLength+1.5)</f>
        <v>21</v>
      </c>
      <c r="E11" s="14" t="s">
        <v>10</v>
      </c>
      <c r="F11" s="14"/>
      <c r="G11" s="14"/>
      <c r="M11" s="4"/>
      <c r="N11" s="17"/>
      <c r="O11" s="17"/>
    </row>
    <row r="12" spans="3:15" x14ac:dyDescent="0.25">
      <c r="C12" s="31" t="s">
        <v>16</v>
      </c>
      <c r="D12" s="59">
        <f>VLOOKUP(PercRate,ProfileToSLR,2,FALSE)</f>
        <v>1.1200000000000001</v>
      </c>
      <c r="E12" s="14" t="s">
        <v>17</v>
      </c>
      <c r="F12" s="14"/>
      <c r="G12" s="14"/>
      <c r="M12" s="4"/>
      <c r="N12" s="17"/>
      <c r="O12" s="17"/>
    </row>
    <row r="13" spans="3:15" x14ac:dyDescent="0.25">
      <c r="C13" s="31" t="s">
        <v>18</v>
      </c>
      <c r="D13" s="60">
        <f>IF(Commercial="Y",CEILING(DailyFlow/1.875,0.001),DailyFlow*80)</f>
        <v>240</v>
      </c>
      <c r="E13" s="14" t="s">
        <v>19</v>
      </c>
      <c r="F13" s="14"/>
      <c r="G13" s="14"/>
      <c r="M13" s="4"/>
      <c r="N13" s="17"/>
      <c r="O13" s="17"/>
    </row>
    <row r="14" spans="3:15" x14ac:dyDescent="0.25">
      <c r="C14" s="31" t="s">
        <v>20</v>
      </c>
      <c r="D14" s="60">
        <f>RowLength*NumRows</f>
        <v>240</v>
      </c>
      <c r="E14" s="14" t="s">
        <v>10</v>
      </c>
      <c r="F14" s="14"/>
      <c r="G14" s="14"/>
      <c r="M14" s="4"/>
      <c r="N14" s="17"/>
      <c r="O14" s="17"/>
    </row>
    <row r="15" spans="3:15" x14ac:dyDescent="0.25">
      <c r="C15" s="31" t="s">
        <v>21</v>
      </c>
      <c r="D15" s="59" cm="1">
        <f t="array" ref="D15">_xlfn.IFS(Layout="P",0,
AND(Commercial="N", Layout="S"),CEILING(DailyFlow/3,1),
AND(Commercial="Y",Layout="S"),CEILING(DailyFlow/450,1))</f>
        <v>0</v>
      </c>
      <c r="E15" s="14" t="s">
        <v>22</v>
      </c>
      <c r="F15" s="14"/>
      <c r="G15" s="14"/>
      <c r="M15" s="4"/>
      <c r="N15" s="17"/>
      <c r="O15" s="17"/>
    </row>
    <row r="16" spans="3:15" x14ac:dyDescent="0.25">
      <c r="C16" s="31" t="s">
        <v>21</v>
      </c>
      <c r="D16" s="59">
        <f>IF(OR(Layout="P",SectionsReqd=0),0,VLOOKUP(1,SectionsUsedTable,2,FALSE))</f>
        <v>0</v>
      </c>
      <c r="E16" s="14" t="s">
        <v>23</v>
      </c>
      <c r="F16" s="14"/>
      <c r="G16" s="14"/>
      <c r="M16" s="4"/>
      <c r="N16" s="17"/>
      <c r="O16" s="17"/>
    </row>
    <row r="17" spans="2:15" x14ac:dyDescent="0.25">
      <c r="C17" s="31" t="s">
        <v>24</v>
      </c>
      <c r="D17" s="59">
        <f>IF(OR(Layout="P",SectionsReqd=0),0,NumRows/SectionsUsed)</f>
        <v>0</v>
      </c>
      <c r="E17" s="14"/>
      <c r="F17" s="14"/>
      <c r="G17" s="14"/>
      <c r="M17" s="4"/>
      <c r="N17" s="17"/>
      <c r="O17" s="17"/>
    </row>
    <row r="18" spans="2:15" x14ac:dyDescent="0.25">
      <c r="C18" s="31" t="s">
        <v>25</v>
      </c>
      <c r="D18" s="59" cm="1">
        <f t="array" ref="D18">_xlfn.IFS(AND(Layout="S",SectionsReqd="0"),CEILING(ConduitReqd/RowLength,2),
AND(Layout="S",SectionsReqd=1),E33,
Layout="S",VLOOKUP(1,SectionsUsedTable,6,),
Layout="S",CEILING(ConduitReqd/RowLength,SectionsUsed),
Layout="P",CEILING(ConduitReqd/RowLength,1))</f>
        <v>12</v>
      </c>
      <c r="E18" s="14"/>
      <c r="F18" s="14"/>
      <c r="G18" s="14"/>
      <c r="M18" s="4"/>
      <c r="N18" s="17"/>
      <c r="O18" s="17"/>
    </row>
    <row r="19" spans="2:15" ht="15.75" thickBot="1" x14ac:dyDescent="0.3">
      <c r="C19" s="31" t="s">
        <v>26</v>
      </c>
      <c r="D19" s="61">
        <f>CEILING(IF(Commercial="Y",DailyFlow/SLR,DailyFlow*90/SLR),1)</f>
        <v>242</v>
      </c>
      <c r="E19" s="14" t="s">
        <v>27</v>
      </c>
      <c r="F19" s="14"/>
      <c r="G19" s="14"/>
      <c r="M19" s="4"/>
      <c r="N19" s="17"/>
      <c r="O19" s="17"/>
    </row>
    <row r="20" spans="2:15" x14ac:dyDescent="0.25">
      <c r="C20" s="31" t="s">
        <v>28</v>
      </c>
      <c r="D20" s="59" cm="1">
        <f t="array" ref="D20">CEILING(_xlfn.IFS(Layout="P",SandAreaReqd/SandBedLength,
AND(Layout="S",SystemSlope&lt;=10),SandAreaReqd/SandBedLength,
AND(Layout="S",SystemSlope&gt;10),SandAreaReqd/SandBedLength+2.5),0.0001)</f>
        <v>11.523900000000001</v>
      </c>
      <c r="E20" s="14" t="s">
        <v>19</v>
      </c>
      <c r="F20" s="27" t="str">
        <f>INT(SandBedWidthMin)&amp;"' -"&amp;CEILING((SandBedWidthMin-INT(SandBedWidthMin)),0.001)*12&amp;""""</f>
        <v>11' -6.288"</v>
      </c>
      <c r="G20" s="14" t="s">
        <v>29</v>
      </c>
      <c r="M20" s="4"/>
      <c r="N20" s="17"/>
      <c r="O20" s="17"/>
    </row>
    <row r="21" spans="2:15" ht="15" customHeight="1" x14ac:dyDescent="0.25">
      <c r="C21" s="31" t="s">
        <v>30</v>
      </c>
      <c r="D21" s="62">
        <f>(NumRows*0.1875)+((NumRows-1)*0.5)</f>
        <v>7.75</v>
      </c>
      <c r="E21" s="14" t="s">
        <v>10</v>
      </c>
      <c r="F21" s="28" t="str">
        <f>INT(PLW)&amp;"' - "&amp;CEILING((PLW-INT(PLW)),0.001)*12&amp;""""</f>
        <v>7' - 9"</v>
      </c>
      <c r="G21" s="14" t="s">
        <v>29</v>
      </c>
      <c r="M21" s="4"/>
      <c r="N21" s="17"/>
      <c r="O21" s="17"/>
    </row>
    <row r="22" spans="2:15" x14ac:dyDescent="0.25">
      <c r="B22" s="52">
        <v>45085</v>
      </c>
      <c r="C22" s="31" t="s">
        <v>31</v>
      </c>
      <c r="D22" s="63" cm="1">
        <f t="array" ref="D22">CEILING(_xlfn.IFS(AND(Layout="P",SandAreaReqd/SandBedLength&gt;(PLW+1)),SandBedWidthMin,
AND(Layout="P",SandAreaReqd/SandBedLength&lt;(PLW+1)),PLW+1,
AND(Layout="S",SystemSlope&lt;=10,(PLW+1)&lt;SandBedWidthMin),SandBedWidthMin,
AND(Layout="S",SystemSlope&lt;=10,(PLW+1)&gt;SandBedWidthMin),PLW+1,
AND(Layout="S",SystemSlope&gt;10,SandBedWidthMin&gt;(PLW+3.5)),SandBedWidthMin,
AND(Layout="S",SystemSlope&gt;10),PLW+3.5),0.25)</f>
        <v>11.75</v>
      </c>
      <c r="E22" s="14" t="s">
        <v>10</v>
      </c>
      <c r="F22" s="28" t="str">
        <f>INT(D22)&amp;"' - "&amp;CEILING((D22-INT(D22))*12,0.001)&amp;""""</f>
        <v>11' - 9"</v>
      </c>
      <c r="G22" s="14" t="s">
        <v>29</v>
      </c>
      <c r="M22" s="4"/>
      <c r="N22" s="17"/>
      <c r="O22" s="17"/>
    </row>
    <row r="23" spans="2:15" ht="15" customHeight="1" thickBot="1" x14ac:dyDescent="0.3">
      <c r="B23" s="52"/>
      <c r="C23" s="31" t="s">
        <v>32</v>
      </c>
      <c r="D23" s="59">
        <f>IF(SystemSlope=0,(D22-(PLW+1))/2,D22-(PLW+1))</f>
        <v>1.5</v>
      </c>
      <c r="E23" s="14" t="str">
        <f>IF(SystemSlope=0,"ft each side","ft downslope")</f>
        <v>ft each side</v>
      </c>
      <c r="F23" s="29" t="str">
        <f>INT(SandExt)&amp;"' - "&amp;CEILING((SandExt-INT(SandExt))*12,0.001)&amp;""""</f>
        <v>1' - 6"</v>
      </c>
      <c r="G23" s="14" t="s">
        <v>29</v>
      </c>
      <c r="M23" s="4"/>
      <c r="N23" s="17"/>
      <c r="O23" s="17"/>
    </row>
    <row r="24" spans="2:15" x14ac:dyDescent="0.25">
      <c r="B24" s="52"/>
      <c r="C24" s="31" t="s">
        <v>33</v>
      </c>
      <c r="D24" s="59">
        <f>D22*SandBedLength</f>
        <v>246.75</v>
      </c>
      <c r="E24" s="14" t="s">
        <v>27</v>
      </c>
      <c r="F24" s="14"/>
      <c r="G24" s="14"/>
      <c r="M24" s="4"/>
      <c r="N24" s="17"/>
      <c r="O24" s="17"/>
    </row>
    <row r="25" spans="2:15" ht="15" customHeight="1" thickBot="1" x14ac:dyDescent="0.3">
      <c r="B25" s="52"/>
      <c r="C25" s="31" t="s">
        <v>34</v>
      </c>
      <c r="D25" s="45">
        <v>1.05</v>
      </c>
      <c r="E25" s="14"/>
      <c r="F25" s="14"/>
      <c r="G25" s="14"/>
      <c r="M25" s="4"/>
      <c r="N25" s="17"/>
      <c r="O25" s="17"/>
    </row>
    <row r="26" spans="2:15" ht="15.75" thickBot="1" x14ac:dyDescent="0.3">
      <c r="B26" s="52"/>
      <c r="C26" s="43" t="s">
        <v>35</v>
      </c>
      <c r="D26" s="64" cm="1">
        <f t="array" ref="D26">CEILING(_xlfn.IFS(SystemSlope&lt;=10,(((PLW+1)*1.5625*SandBedLength+2*SandExt*0.5*SandBedLength)-D14*0.1917)/27*SandMultiplier,
AND(SystemSlope&gt;10,SystemSlope&lt;=25),(((PLW+1)*1.5625*SandBedLength+SandExt*0.5*SandBedLength)-D14*0.1917)/27)*SandMultiplier,0.01)</f>
        <v>11.14</v>
      </c>
      <c r="E26" s="14" t="s">
        <v>36</v>
      </c>
      <c r="F26" s="33">
        <f>D26*1.5</f>
        <v>16.71</v>
      </c>
      <c r="G26" s="14" t="s">
        <v>37</v>
      </c>
      <c r="M26" s="4"/>
      <c r="N26" s="17"/>
      <c r="O26" s="17"/>
    </row>
    <row r="27" spans="2:15" ht="15" customHeight="1" thickBot="1" x14ac:dyDescent="0.3">
      <c r="B27" s="52"/>
      <c r="C27" s="50" t="s">
        <v>38</v>
      </c>
      <c r="D27" s="51"/>
      <c r="E27" s="14"/>
      <c r="F27" s="14"/>
      <c r="G27" s="14"/>
      <c r="M27" s="4"/>
      <c r="N27" s="17"/>
      <c r="O27" s="17"/>
    </row>
    <row r="28" spans="2:15" x14ac:dyDescent="0.25">
      <c r="B28" s="52"/>
      <c r="C28" s="42" t="s">
        <v>39</v>
      </c>
      <c r="D28" s="65" cm="1">
        <f t="array" ref="D28">_xlfn.IFS(AND(Layout="P",NumRows/2=INT(NumRows/2)),NumRows/2,
AND(Layout="P",NumRows/2&lt;&gt;INT(NumRows/2)),CEILING(NumRows/2,1),
Layout="S",NumRows-SectionsUsed)</f>
        <v>6</v>
      </c>
      <c r="E28" s="14"/>
      <c r="F28" s="14"/>
      <c r="G28" s="14"/>
      <c r="M28" s="4"/>
      <c r="N28" s="17"/>
      <c r="O28" s="17"/>
    </row>
    <row r="29" spans="2:15" ht="15.75" thickBot="1" x14ac:dyDescent="0.3">
      <c r="B29" s="52"/>
      <c r="C29" s="32" t="s">
        <v>40</v>
      </c>
      <c r="D29" s="66" cm="1">
        <f t="array" ref="D29">_xlfn.IFS(AND(Layout="P",NumRows/2=INT(NumRows/2)),NumRows+2,
AND(Layout="P",NumRows/2&lt;&gt;INT(NumRows/2)),NumRows+3,
Layout="S",(SectionsUsed)*2+NumManifolds*2)</f>
        <v>14</v>
      </c>
      <c r="E29" s="14"/>
      <c r="F29" s="14"/>
      <c r="G29" s="14"/>
      <c r="M29" s="4"/>
      <c r="N29" s="17"/>
      <c r="O29" s="17"/>
    </row>
    <row r="30" spans="2:15" x14ac:dyDescent="0.25">
      <c r="M30" s="4"/>
      <c r="N30" s="17"/>
      <c r="O30" s="17"/>
    </row>
    <row r="31" spans="2:15" x14ac:dyDescent="0.25">
      <c r="M31" s="4"/>
      <c r="N31" s="17"/>
      <c r="O31" s="4"/>
    </row>
    <row r="32" spans="2:15" ht="15" hidden="1" customHeight="1" x14ac:dyDescent="0.25">
      <c r="B32" s="7" t="s">
        <v>41</v>
      </c>
      <c r="C32" s="6" t="s">
        <v>42</v>
      </c>
      <c r="D32" s="10" t="s">
        <v>43</v>
      </c>
      <c r="E32" s="7" t="s">
        <v>44</v>
      </c>
      <c r="F32" s="7" t="s">
        <v>45</v>
      </c>
      <c r="G32" s="7" t="s">
        <v>46</v>
      </c>
      <c r="H32" s="7" t="s">
        <v>47</v>
      </c>
      <c r="I32" s="10" t="s">
        <v>48</v>
      </c>
      <c r="J32" s="9" t="s">
        <v>49</v>
      </c>
      <c r="K32" s="9" t="s">
        <v>50</v>
      </c>
      <c r="L32" s="20" t="s">
        <v>51</v>
      </c>
      <c r="M32" s="4"/>
      <c r="N32" s="17"/>
      <c r="O32" s="4"/>
    </row>
    <row r="33" spans="2:15" hidden="1" x14ac:dyDescent="0.25">
      <c r="B33" s="7" t="e" cm="1">
        <f t="array" ref="B33">_xlfn.IFS(SectionsReqd=1,1,
AND(F33=G33,K33=1,D33=EVEN(D33)),1,
AND(F33=G33,L33=1,D33=EVEN(D33)),1,
TRUE,0)</f>
        <v>#N/A</v>
      </c>
      <c r="C33" s="6" t="e" cm="1">
        <f t="array" ref="C33">_xlfn.IFS(AND(Commercial="N", Layout="S"),CEILING(DailyFlow/3,1),
AND(Commercial="Y",Layout="S"),CEILING(DailyFlow/450,1))</f>
        <v>#N/A</v>
      </c>
      <c r="D33" s="67" t="e">
        <f t="shared" ref="D33:D49" si="0">CEILING(ConduitReqd/RowLength/C33,1)</f>
        <v>#N/A</v>
      </c>
      <c r="E33" s="7" t="e">
        <f t="shared" ref="E33:E49" si="1">EVEN(D33)</f>
        <v>#N/A</v>
      </c>
      <c r="F33" s="7" t="e">
        <f>E33*C33</f>
        <v>#N/A</v>
      </c>
      <c r="G33" s="7" t="e">
        <f>IF(F33/2=INT(F33/2),F33,0)</f>
        <v>#N/A</v>
      </c>
      <c r="H33" s="7" t="e">
        <f>IF(G33&gt;0,G33,"")</f>
        <v>#N/A</v>
      </c>
      <c r="I33" s="7" t="e">
        <f t="shared" ref="I33:I49" si="2">F33*RowLength</f>
        <v>#N/A</v>
      </c>
      <c r="J33" s="7" t="e">
        <f t="shared" ref="J33:J49" si="3">I33-ConduitReqd</f>
        <v>#N/A</v>
      </c>
      <c r="K33" s="7" t="e">
        <f>IF(J33=MIN(J33:J49),1,0)</f>
        <v>#N/A</v>
      </c>
      <c r="L33" s="21" t="e">
        <f t="shared" ref="L33:L49" si="4">IF(AND(F33=G33,G33=MIN(SectTableTest4Even),D33=EVEN(D33)),1,0)</f>
        <v>#N/A</v>
      </c>
      <c r="M33" s="4"/>
      <c r="N33" s="17"/>
      <c r="O33" s="4"/>
    </row>
    <row r="34" spans="2:15" hidden="1" x14ac:dyDescent="0.25">
      <c r="B34" s="7" t="e" cm="1">
        <f t="array" ref="B34">_xlfn.IFS(SectionsReqd=1,1,
AND(F34=G34,K34=1,D34=EVEN(D34)),1,
AND(F34=G34,L34=1,D34=EVEN(D34)),1,
TRUE,0)</f>
        <v>#N/A</v>
      </c>
      <c r="C34" s="6" t="e">
        <f>C33+1</f>
        <v>#N/A</v>
      </c>
      <c r="D34" s="67" t="e">
        <f t="shared" si="0"/>
        <v>#N/A</v>
      </c>
      <c r="E34" s="7" t="e">
        <f t="shared" si="1"/>
        <v>#N/A</v>
      </c>
      <c r="F34" s="7" t="e">
        <f t="shared" ref="F34:F49" si="5">D34*C34</f>
        <v>#N/A</v>
      </c>
      <c r="G34" s="7" t="e">
        <f t="shared" ref="G34:G49" si="6">IF(F34/2=INT(F34/2),F34,0)</f>
        <v>#N/A</v>
      </c>
      <c r="H34" s="7" t="e">
        <f t="shared" ref="H34:H49" si="7">IF(G34&gt;0,G34,"")</f>
        <v>#N/A</v>
      </c>
      <c r="I34" s="7" t="e">
        <f t="shared" si="2"/>
        <v>#N/A</v>
      </c>
      <c r="J34" s="7" t="e">
        <f t="shared" si="3"/>
        <v>#N/A</v>
      </c>
      <c r="K34" s="7" t="e">
        <f>IF(J34=MIN(J33:J49),1,0)</f>
        <v>#N/A</v>
      </c>
      <c r="L34" s="21" t="e">
        <f t="shared" si="4"/>
        <v>#N/A</v>
      </c>
      <c r="M34" s="4"/>
      <c r="N34" s="17"/>
      <c r="O34" s="4"/>
    </row>
    <row r="35" spans="2:15" hidden="1" x14ac:dyDescent="0.25">
      <c r="B35" s="7" t="e" cm="1">
        <f t="array" ref="B35">_xlfn.IFS(SectionsReqd=1,1,
AND(F35=G35,K35=1,D35=EVEN(D35)),1,
AND(F35=G35,L35=1,D35=EVEN(D35)),1,
TRUE,0)</f>
        <v>#N/A</v>
      </c>
      <c r="C35" s="6" t="e">
        <f>C34+1</f>
        <v>#N/A</v>
      </c>
      <c r="D35" s="67" t="e">
        <f t="shared" si="0"/>
        <v>#N/A</v>
      </c>
      <c r="E35" s="7" t="e">
        <f t="shared" si="1"/>
        <v>#N/A</v>
      </c>
      <c r="F35" s="7" t="e">
        <f t="shared" si="5"/>
        <v>#N/A</v>
      </c>
      <c r="G35" s="7" t="e">
        <f t="shared" si="6"/>
        <v>#N/A</v>
      </c>
      <c r="H35" s="7" t="e">
        <f t="shared" si="7"/>
        <v>#N/A</v>
      </c>
      <c r="I35" s="7" t="e">
        <f t="shared" si="2"/>
        <v>#N/A</v>
      </c>
      <c r="J35" s="7" t="e">
        <f t="shared" si="3"/>
        <v>#N/A</v>
      </c>
      <c r="K35" s="7" t="e">
        <f>IF(J35=MIN(J33:J49),1,0)</f>
        <v>#N/A</v>
      </c>
      <c r="L35" s="21" t="e">
        <f t="shared" si="4"/>
        <v>#N/A</v>
      </c>
      <c r="M35" s="4"/>
      <c r="N35" s="17"/>
      <c r="O35" s="4"/>
    </row>
    <row r="36" spans="2:15" hidden="1" x14ac:dyDescent="0.25">
      <c r="B36" s="7" t="e" cm="1">
        <f t="array" ref="B36">_xlfn.IFS(SectionsReqd=1,1,
AND(F36=G36,K36=1,D36=EVEN(D36)),1,
AND(F36=G36,L36=1,D36=EVEN(D36)),1,
TRUE,0)</f>
        <v>#N/A</v>
      </c>
      <c r="C36" s="6" t="e">
        <f t="shared" ref="C36:C49" si="8">C35+1</f>
        <v>#N/A</v>
      </c>
      <c r="D36" s="67" t="e">
        <f t="shared" si="0"/>
        <v>#N/A</v>
      </c>
      <c r="E36" s="7" t="e">
        <f t="shared" si="1"/>
        <v>#N/A</v>
      </c>
      <c r="F36" s="7" t="e">
        <f t="shared" si="5"/>
        <v>#N/A</v>
      </c>
      <c r="G36" s="7" t="e">
        <f t="shared" si="6"/>
        <v>#N/A</v>
      </c>
      <c r="H36" s="7" t="e">
        <f t="shared" si="7"/>
        <v>#N/A</v>
      </c>
      <c r="I36" s="7" t="e">
        <f t="shared" si="2"/>
        <v>#N/A</v>
      </c>
      <c r="J36" s="7" t="e">
        <f t="shared" si="3"/>
        <v>#N/A</v>
      </c>
      <c r="K36" s="7" t="e">
        <f>IF(J36=MIN(J33:J49),1,0)</f>
        <v>#N/A</v>
      </c>
      <c r="L36" s="21" t="e">
        <f t="shared" si="4"/>
        <v>#N/A</v>
      </c>
      <c r="M36" s="4"/>
      <c r="N36" s="17"/>
      <c r="O36" s="4"/>
    </row>
    <row r="37" spans="2:15" hidden="1" x14ac:dyDescent="0.25">
      <c r="B37" s="7" t="e" cm="1">
        <f t="array" ref="B37">_xlfn.IFS(SectionsReqd=1,1,
AND(F37=G37,K37=1,D37=EVEN(D37)),1,
AND(F37=G37,L37=1,D37=EVEN(D37)),1,
TRUE,0)</f>
        <v>#N/A</v>
      </c>
      <c r="C37" s="6" t="e">
        <f t="shared" si="8"/>
        <v>#N/A</v>
      </c>
      <c r="D37" s="67" t="e">
        <f t="shared" si="0"/>
        <v>#N/A</v>
      </c>
      <c r="E37" s="7" t="e">
        <f t="shared" si="1"/>
        <v>#N/A</v>
      </c>
      <c r="F37" s="7" t="e">
        <f t="shared" si="5"/>
        <v>#N/A</v>
      </c>
      <c r="G37" s="7" t="e">
        <f t="shared" si="6"/>
        <v>#N/A</v>
      </c>
      <c r="H37" s="7" t="e">
        <f t="shared" si="7"/>
        <v>#N/A</v>
      </c>
      <c r="I37" s="7" t="e">
        <f t="shared" si="2"/>
        <v>#N/A</v>
      </c>
      <c r="J37" s="7" t="e">
        <f t="shared" si="3"/>
        <v>#N/A</v>
      </c>
      <c r="K37" s="7" t="e">
        <f>IF(J37=MIN(J33:J49),1,0)</f>
        <v>#N/A</v>
      </c>
      <c r="L37" s="21" t="e">
        <f t="shared" si="4"/>
        <v>#N/A</v>
      </c>
      <c r="M37" s="4"/>
      <c r="N37" s="17"/>
      <c r="O37" s="4"/>
    </row>
    <row r="38" spans="2:15" hidden="1" x14ac:dyDescent="0.25">
      <c r="B38" s="7" t="e" cm="1">
        <f t="array" ref="B38">_xlfn.IFS(SectionsReqd=1,1,
AND(F38=G38,K38=1,D38=EVEN(D38)),1,
AND(F38=G38,L38=1,D38=EVEN(D38)),1,
TRUE,0)</f>
        <v>#N/A</v>
      </c>
      <c r="C38" s="6" t="e">
        <f t="shared" si="8"/>
        <v>#N/A</v>
      </c>
      <c r="D38" s="67" t="e">
        <f t="shared" si="0"/>
        <v>#N/A</v>
      </c>
      <c r="E38" s="7" t="e">
        <f t="shared" si="1"/>
        <v>#N/A</v>
      </c>
      <c r="F38" s="7" t="e">
        <f t="shared" si="5"/>
        <v>#N/A</v>
      </c>
      <c r="G38" s="7" t="e">
        <f t="shared" si="6"/>
        <v>#N/A</v>
      </c>
      <c r="H38" s="7" t="e">
        <f t="shared" si="7"/>
        <v>#N/A</v>
      </c>
      <c r="I38" s="7" t="e">
        <f t="shared" si="2"/>
        <v>#N/A</v>
      </c>
      <c r="J38" s="7" t="e">
        <f t="shared" si="3"/>
        <v>#N/A</v>
      </c>
      <c r="K38" s="7" t="e">
        <f>IF(J38=MIN(J33:J49),1,0)</f>
        <v>#N/A</v>
      </c>
      <c r="L38" s="21" t="e">
        <f t="shared" si="4"/>
        <v>#N/A</v>
      </c>
      <c r="M38" s="4"/>
      <c r="N38" s="17"/>
      <c r="O38" s="4"/>
    </row>
    <row r="39" spans="2:15" hidden="1" x14ac:dyDescent="0.25">
      <c r="B39" s="7" t="e" cm="1">
        <f t="array" ref="B39">_xlfn.IFS(SectionsReqd=1,1,
AND(F39=G39,K39=1,D39=EVEN(D39)),1,
AND(F39=G39,L39=1,D39=EVEN(D39)),1,
TRUE,0)</f>
        <v>#N/A</v>
      </c>
      <c r="C39" s="6" t="e">
        <f t="shared" si="8"/>
        <v>#N/A</v>
      </c>
      <c r="D39" s="67" t="e">
        <f t="shared" si="0"/>
        <v>#N/A</v>
      </c>
      <c r="E39" s="7" t="e">
        <f t="shared" si="1"/>
        <v>#N/A</v>
      </c>
      <c r="F39" s="7" t="e">
        <f t="shared" si="5"/>
        <v>#N/A</v>
      </c>
      <c r="G39" s="7" t="e">
        <f t="shared" si="6"/>
        <v>#N/A</v>
      </c>
      <c r="H39" s="7" t="e">
        <f t="shared" si="7"/>
        <v>#N/A</v>
      </c>
      <c r="I39" s="7" t="e">
        <f t="shared" si="2"/>
        <v>#N/A</v>
      </c>
      <c r="J39" s="7" t="e">
        <f t="shared" si="3"/>
        <v>#N/A</v>
      </c>
      <c r="K39" s="7" t="e">
        <f>IF(J39=MIN(J33:J49),1,0)</f>
        <v>#N/A</v>
      </c>
      <c r="L39" s="21" t="e">
        <f t="shared" si="4"/>
        <v>#N/A</v>
      </c>
      <c r="M39" s="4"/>
      <c r="N39" s="17"/>
      <c r="O39" s="4"/>
    </row>
    <row r="40" spans="2:15" hidden="1" x14ac:dyDescent="0.25">
      <c r="B40" s="7" t="e" cm="1">
        <f t="array" ref="B40">_xlfn.IFS(SectionsReqd=1,1,
AND(F40=G40,K40=1,D40=EVEN(D40)),1,
AND(F40=G40,L40=1,D40=EVEN(D40)),1,
TRUE,0)</f>
        <v>#N/A</v>
      </c>
      <c r="C40" s="6" t="e">
        <f t="shared" si="8"/>
        <v>#N/A</v>
      </c>
      <c r="D40" s="67" t="e">
        <f t="shared" si="0"/>
        <v>#N/A</v>
      </c>
      <c r="E40" s="7" t="e">
        <f t="shared" si="1"/>
        <v>#N/A</v>
      </c>
      <c r="F40" s="7" t="e">
        <f t="shared" si="5"/>
        <v>#N/A</v>
      </c>
      <c r="G40" s="7" t="e">
        <f t="shared" si="6"/>
        <v>#N/A</v>
      </c>
      <c r="H40" s="7" t="e">
        <f t="shared" si="7"/>
        <v>#N/A</v>
      </c>
      <c r="I40" s="7" t="e">
        <f t="shared" si="2"/>
        <v>#N/A</v>
      </c>
      <c r="J40" s="7" t="e">
        <f t="shared" si="3"/>
        <v>#N/A</v>
      </c>
      <c r="K40" s="7" t="e">
        <f>IF(J40=MIN(J33:J49),1,0)</f>
        <v>#N/A</v>
      </c>
      <c r="L40" s="21" t="e">
        <f t="shared" si="4"/>
        <v>#N/A</v>
      </c>
      <c r="M40" s="4"/>
      <c r="N40" s="17"/>
      <c r="O40" s="4"/>
    </row>
    <row r="41" spans="2:15" hidden="1" x14ac:dyDescent="0.25">
      <c r="B41" s="7" t="e" cm="1">
        <f t="array" ref="B41">_xlfn.IFS(SectionsReqd=1,1,
AND(F41=G41,K41=1,D41=EVEN(D41)),1,
AND(F41=G41,L41=1,D41=EVEN(D41)),1,
TRUE,0)</f>
        <v>#N/A</v>
      </c>
      <c r="C41" s="6" t="e">
        <f t="shared" si="8"/>
        <v>#N/A</v>
      </c>
      <c r="D41" s="67" t="e">
        <f t="shared" si="0"/>
        <v>#N/A</v>
      </c>
      <c r="E41" s="7" t="e">
        <f t="shared" si="1"/>
        <v>#N/A</v>
      </c>
      <c r="F41" s="7" t="e">
        <f t="shared" si="5"/>
        <v>#N/A</v>
      </c>
      <c r="G41" s="7" t="e">
        <f t="shared" si="6"/>
        <v>#N/A</v>
      </c>
      <c r="H41" s="7" t="e">
        <f t="shared" si="7"/>
        <v>#N/A</v>
      </c>
      <c r="I41" s="7" t="e">
        <f t="shared" si="2"/>
        <v>#N/A</v>
      </c>
      <c r="J41" s="7" t="e">
        <f t="shared" si="3"/>
        <v>#N/A</v>
      </c>
      <c r="K41" s="7" t="e">
        <f>IF(J41=MIN(J33:J49),1,0)</f>
        <v>#N/A</v>
      </c>
      <c r="L41" s="21" t="e">
        <f t="shared" si="4"/>
        <v>#N/A</v>
      </c>
      <c r="M41" s="4"/>
      <c r="N41" s="17"/>
      <c r="O41" s="4"/>
    </row>
    <row r="42" spans="2:15" hidden="1" x14ac:dyDescent="0.25">
      <c r="B42" s="7" t="e" cm="1">
        <f t="array" ref="B42">_xlfn.IFS(SectionsReqd=1,1,
AND(F42=G42,K42=1,D42=EVEN(D42)),1,
AND(F42=G42,L42=1,D42=EVEN(D42)),1,
TRUE,0)</f>
        <v>#N/A</v>
      </c>
      <c r="C42" s="6" t="e">
        <f t="shared" si="8"/>
        <v>#N/A</v>
      </c>
      <c r="D42" s="67" t="e">
        <f t="shared" si="0"/>
        <v>#N/A</v>
      </c>
      <c r="E42" s="7" t="e">
        <f t="shared" si="1"/>
        <v>#N/A</v>
      </c>
      <c r="F42" s="7" t="e">
        <f t="shared" si="5"/>
        <v>#N/A</v>
      </c>
      <c r="G42" s="7" t="e">
        <f t="shared" si="6"/>
        <v>#N/A</v>
      </c>
      <c r="H42" s="7" t="e">
        <f t="shared" si="7"/>
        <v>#N/A</v>
      </c>
      <c r="I42" s="7" t="e">
        <f t="shared" si="2"/>
        <v>#N/A</v>
      </c>
      <c r="J42" s="7" t="e">
        <f t="shared" si="3"/>
        <v>#N/A</v>
      </c>
      <c r="K42" s="7" t="e">
        <f>IF(J42=MIN(J33:J49),1,0)</f>
        <v>#N/A</v>
      </c>
      <c r="L42" s="21" t="e">
        <f t="shared" si="4"/>
        <v>#N/A</v>
      </c>
    </row>
    <row r="43" spans="2:15" hidden="1" x14ac:dyDescent="0.25">
      <c r="B43" s="7" t="e" cm="1">
        <f t="array" ref="B43">_xlfn.IFS(SectionsReqd=1,1,
AND(F43=G43,K43=1,D43=EVEN(D43)),1,
AND(F43=G43,L43=1,D43=EVEN(D43)),1,
TRUE,0)</f>
        <v>#N/A</v>
      </c>
      <c r="C43" s="6" t="e">
        <f t="shared" si="8"/>
        <v>#N/A</v>
      </c>
      <c r="D43" s="67" t="e">
        <f t="shared" si="0"/>
        <v>#N/A</v>
      </c>
      <c r="E43" s="7" t="e">
        <f t="shared" si="1"/>
        <v>#N/A</v>
      </c>
      <c r="F43" s="7" t="e">
        <f t="shared" si="5"/>
        <v>#N/A</v>
      </c>
      <c r="G43" s="7" t="e">
        <f t="shared" si="6"/>
        <v>#N/A</v>
      </c>
      <c r="H43" s="7" t="e">
        <f t="shared" si="7"/>
        <v>#N/A</v>
      </c>
      <c r="I43" s="7" t="e">
        <f t="shared" si="2"/>
        <v>#N/A</v>
      </c>
      <c r="J43" s="7" t="e">
        <f t="shared" si="3"/>
        <v>#N/A</v>
      </c>
      <c r="K43" s="7" t="e">
        <f>IF(J43=MIN(J33:J49),1,0)</f>
        <v>#N/A</v>
      </c>
      <c r="L43" s="21" t="e">
        <f t="shared" si="4"/>
        <v>#N/A</v>
      </c>
    </row>
    <row r="44" spans="2:15" hidden="1" x14ac:dyDescent="0.25">
      <c r="B44" s="7" t="e" cm="1">
        <f t="array" ref="B44">_xlfn.IFS(SectionsReqd=1,1,
AND(F44=G44,K44=1,D44=EVEN(D44)),1,
AND(F44=G44,L44=1,D44=EVEN(D44)),1,
TRUE,0)</f>
        <v>#N/A</v>
      </c>
      <c r="C44" s="6" t="e">
        <f t="shared" si="8"/>
        <v>#N/A</v>
      </c>
      <c r="D44" s="67" t="e">
        <f t="shared" si="0"/>
        <v>#N/A</v>
      </c>
      <c r="E44" s="7" t="e">
        <f t="shared" si="1"/>
        <v>#N/A</v>
      </c>
      <c r="F44" s="7" t="e">
        <f t="shared" si="5"/>
        <v>#N/A</v>
      </c>
      <c r="G44" s="7" t="e">
        <f t="shared" si="6"/>
        <v>#N/A</v>
      </c>
      <c r="H44" s="7" t="e">
        <f t="shared" si="7"/>
        <v>#N/A</v>
      </c>
      <c r="I44" s="7" t="e">
        <f t="shared" si="2"/>
        <v>#N/A</v>
      </c>
      <c r="J44" s="7" t="e">
        <f t="shared" si="3"/>
        <v>#N/A</v>
      </c>
      <c r="K44" s="7" t="e">
        <f>IF(J44=MIN(J33:J49),1,0)</f>
        <v>#N/A</v>
      </c>
      <c r="L44" s="21" t="e">
        <f t="shared" si="4"/>
        <v>#N/A</v>
      </c>
    </row>
    <row r="45" spans="2:15" hidden="1" x14ac:dyDescent="0.25">
      <c r="B45" s="7" t="e" cm="1">
        <f t="array" ref="B45">_xlfn.IFS(SectionsReqd=1,1,
AND(F45=G45,K45=1,D45=EVEN(D45)),1,
AND(F45=G45,L45=1,D45=EVEN(D45)),1,
TRUE,0)</f>
        <v>#N/A</v>
      </c>
      <c r="C45" s="6" t="e">
        <f t="shared" si="8"/>
        <v>#N/A</v>
      </c>
      <c r="D45" s="67" t="e">
        <f t="shared" si="0"/>
        <v>#N/A</v>
      </c>
      <c r="E45" s="7" t="e">
        <f t="shared" si="1"/>
        <v>#N/A</v>
      </c>
      <c r="F45" s="7" t="e">
        <f t="shared" si="5"/>
        <v>#N/A</v>
      </c>
      <c r="G45" s="7" t="e">
        <f t="shared" si="6"/>
        <v>#N/A</v>
      </c>
      <c r="H45" s="7" t="e">
        <f t="shared" si="7"/>
        <v>#N/A</v>
      </c>
      <c r="I45" s="7" t="e">
        <f t="shared" si="2"/>
        <v>#N/A</v>
      </c>
      <c r="J45" s="7" t="e">
        <f t="shared" si="3"/>
        <v>#N/A</v>
      </c>
      <c r="K45" s="7" t="e">
        <f>IF(J45=MIN(J33:J49),1,0)</f>
        <v>#N/A</v>
      </c>
      <c r="L45" s="21" t="e">
        <f t="shared" si="4"/>
        <v>#N/A</v>
      </c>
    </row>
    <row r="46" spans="2:15" hidden="1" x14ac:dyDescent="0.25">
      <c r="B46" s="7" t="e" cm="1">
        <f t="array" ref="B46">_xlfn.IFS(SectionsReqd=1,1,
AND(F46=G46,K46=1,D46=EVEN(D46)),1,
AND(F46=G46,L46=1,D46=EVEN(D46)),1,
TRUE,0)</f>
        <v>#N/A</v>
      </c>
      <c r="C46" s="6" t="e">
        <f t="shared" si="8"/>
        <v>#N/A</v>
      </c>
      <c r="D46" s="67" t="e">
        <f t="shared" si="0"/>
        <v>#N/A</v>
      </c>
      <c r="E46" s="7" t="e">
        <f t="shared" si="1"/>
        <v>#N/A</v>
      </c>
      <c r="F46" s="7" t="e">
        <f t="shared" si="5"/>
        <v>#N/A</v>
      </c>
      <c r="G46" s="7" t="e">
        <f t="shared" si="6"/>
        <v>#N/A</v>
      </c>
      <c r="H46" s="7" t="e">
        <f t="shared" si="7"/>
        <v>#N/A</v>
      </c>
      <c r="I46" s="7" t="e">
        <f t="shared" si="2"/>
        <v>#N/A</v>
      </c>
      <c r="J46" s="7" t="e">
        <f t="shared" si="3"/>
        <v>#N/A</v>
      </c>
      <c r="K46" s="7" t="e">
        <f>IF(J46=MIN(J33:J49),1,0)</f>
        <v>#N/A</v>
      </c>
      <c r="L46" s="21" t="e">
        <f t="shared" si="4"/>
        <v>#N/A</v>
      </c>
    </row>
    <row r="47" spans="2:15" hidden="1" x14ac:dyDescent="0.25">
      <c r="B47" s="7" t="e" cm="1">
        <f t="array" ref="B47">_xlfn.IFS(SectionsReqd=1,1,
AND(F47=G47,K47=1,D47=EVEN(D47)),1,
AND(F47=G47,L47=1,D47=EVEN(D47)),1,
TRUE,0)</f>
        <v>#N/A</v>
      </c>
      <c r="C47" s="6" t="e">
        <f t="shared" si="8"/>
        <v>#N/A</v>
      </c>
      <c r="D47" s="67" t="e">
        <f t="shared" si="0"/>
        <v>#N/A</v>
      </c>
      <c r="E47" s="7" t="e">
        <f t="shared" si="1"/>
        <v>#N/A</v>
      </c>
      <c r="F47" s="7" t="e">
        <f t="shared" si="5"/>
        <v>#N/A</v>
      </c>
      <c r="G47" s="7" t="e">
        <f t="shared" si="6"/>
        <v>#N/A</v>
      </c>
      <c r="H47" s="7" t="e">
        <f t="shared" si="7"/>
        <v>#N/A</v>
      </c>
      <c r="I47" s="7" t="e">
        <f t="shared" si="2"/>
        <v>#N/A</v>
      </c>
      <c r="J47" s="7" t="e">
        <f t="shared" si="3"/>
        <v>#N/A</v>
      </c>
      <c r="K47" s="7" t="e">
        <f>IF(J47=MIN(J33:J49),1,0)</f>
        <v>#N/A</v>
      </c>
      <c r="L47" s="21" t="e">
        <f t="shared" si="4"/>
        <v>#N/A</v>
      </c>
    </row>
    <row r="48" spans="2:15" hidden="1" x14ac:dyDescent="0.25">
      <c r="B48" s="7" t="e" cm="1">
        <f t="array" ref="B48">_xlfn.IFS(SectionsReqd=1,1,
AND(F48=G48,K48=1,D48=EVEN(D48)),1,
AND(F48=G48,L48=1,D48=EVEN(D48)),1,
TRUE,0)</f>
        <v>#N/A</v>
      </c>
      <c r="C48" s="6" t="e">
        <f t="shared" si="8"/>
        <v>#N/A</v>
      </c>
      <c r="D48" s="67" t="e">
        <f t="shared" si="0"/>
        <v>#N/A</v>
      </c>
      <c r="E48" s="7" t="e">
        <f t="shared" si="1"/>
        <v>#N/A</v>
      </c>
      <c r="F48" s="7" t="e">
        <f t="shared" si="5"/>
        <v>#N/A</v>
      </c>
      <c r="G48" s="7" t="e">
        <f t="shared" si="6"/>
        <v>#N/A</v>
      </c>
      <c r="H48" s="7" t="e">
        <f t="shared" si="7"/>
        <v>#N/A</v>
      </c>
      <c r="I48" s="7" t="e">
        <f t="shared" si="2"/>
        <v>#N/A</v>
      </c>
      <c r="J48" s="7" t="e">
        <f t="shared" si="3"/>
        <v>#N/A</v>
      </c>
      <c r="K48" s="7" t="e">
        <f>IF(J48=MIN(J33:J49),1,0)</f>
        <v>#N/A</v>
      </c>
      <c r="L48" s="21" t="e">
        <f t="shared" si="4"/>
        <v>#N/A</v>
      </c>
    </row>
    <row r="49" spans="2:12" hidden="1" x14ac:dyDescent="0.25">
      <c r="B49" s="7" t="e" cm="1">
        <f t="array" ref="B49">_xlfn.IFS(SectionsReqd=1,1,
AND(F49=G49,K49=1,D49=EVEN(D49)),1,
AND(F49=G49,L49=1,D49=EVEN(D49)),1,
TRUE,0)</f>
        <v>#N/A</v>
      </c>
      <c r="C49" s="6" t="e">
        <f t="shared" si="8"/>
        <v>#N/A</v>
      </c>
      <c r="D49" s="67" t="e">
        <f t="shared" si="0"/>
        <v>#N/A</v>
      </c>
      <c r="E49" s="7" t="e">
        <f t="shared" si="1"/>
        <v>#N/A</v>
      </c>
      <c r="F49" s="7" t="e">
        <f t="shared" si="5"/>
        <v>#N/A</v>
      </c>
      <c r="G49" s="7" t="e">
        <f t="shared" si="6"/>
        <v>#N/A</v>
      </c>
      <c r="H49" s="7" t="e">
        <f t="shared" si="7"/>
        <v>#N/A</v>
      </c>
      <c r="I49" s="7" t="e">
        <f t="shared" si="2"/>
        <v>#N/A</v>
      </c>
      <c r="J49" s="7" t="e">
        <f t="shared" si="3"/>
        <v>#N/A</v>
      </c>
      <c r="K49" s="7" t="e">
        <f>IF(J49=MIN(J33:J49),1,0)</f>
        <v>#N/A</v>
      </c>
      <c r="L49" s="21" t="e">
        <f t="shared" si="4"/>
        <v>#N/A</v>
      </c>
    </row>
  </sheetData>
  <sheetProtection sheet="1" objects="1" scenarios="1"/>
  <mergeCells count="4">
    <mergeCell ref="C27:D27"/>
    <mergeCell ref="B22:B29"/>
    <mergeCell ref="C2:D2"/>
    <mergeCell ref="C1:D1"/>
  </mergeCells>
  <conditionalFormatting sqref="D8">
    <cfRule type="expression" dxfId="0" priority="1">
      <formula>D$8/4=INT($D$8/4)</formula>
    </cfRule>
  </conditionalFormatting>
  <dataValidations count="8">
    <dataValidation type="list" allowBlank="1" showInputMessage="1" showErrorMessage="1" sqref="D3" xr:uid="{EF82E209-D03A-4729-A928-70A383756A92}">
      <formula1>"Y,N"</formula1>
    </dataValidation>
    <dataValidation type="decimal" allowBlank="1" showInputMessage="1" showErrorMessage="1" error="Must be 16 to 100!" sqref="D11 D8" xr:uid="{17A0300C-E1CC-4378-B0BB-3BAC088D3A8C}">
      <formula1>16</formula1>
      <formula2>100</formula2>
    </dataValidation>
    <dataValidation type="list" allowBlank="1" showInputMessage="1" showErrorMessage="1" sqref="D4" xr:uid="{CE25B853-FBF6-4567-AC0E-D75AE393F42B}">
      <formula1>"P,S"</formula1>
    </dataValidation>
    <dataValidation type="whole" allowBlank="1" showInputMessage="1" showErrorMessage="1" sqref="D8" xr:uid="{E1895907-777E-40EE-BCAC-D89EB9C32014}">
      <formula1>20</formula1>
      <formula2>100</formula2>
    </dataValidation>
    <dataValidation type="whole" allowBlank="1" showInputMessage="1" showErrorMessage="1" sqref="D5" xr:uid="{C4C71C0F-C298-4751-94B6-1544E6F3CC2A}">
      <formula1>0</formula1>
      <formula2>25</formula2>
    </dataValidation>
    <dataValidation type="list" allowBlank="1" showDropDown="1" showInputMessage="1" showErrorMessage="1" sqref="D9" xr:uid="{31CB8E8B-1BC7-4354-8B54-3FDB0A228C21}">
      <formula1>"N,n,Y,y"</formula1>
    </dataValidation>
    <dataValidation type="decimal" operator="greaterThanOrEqual" allowBlank="1" showInputMessage="1" showErrorMessage="1" sqref="D25" xr:uid="{3445820A-DD1A-40A5-96CF-9C8CA5C6BD10}">
      <formula1>1</formula1>
    </dataValidation>
    <dataValidation type="whole" allowBlank="1" showInputMessage="1" showErrorMessage="1" sqref="D7" xr:uid="{E6454C53-594A-44DC-8212-F9BF82CEF4F9}">
      <formula1>1</formula1>
      <formula2>9</formula2>
    </dataValidation>
  </dataValidations>
  <pageMargins left="0.7" right="0.7" top="0.75" bottom="0.75" header="0.3" footer="0.3"/>
  <pageSetup orientation="portrait" horizontalDpi="1200" verticalDpi="1200" r:id="rId1"/>
  <ignoredErrors>
    <ignoredError sqref="D22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95D60-A286-40C4-BD6F-B89E832D80A8}">
  <sheetPr codeName="Sheet2">
    <tabColor theme="9" tint="0.59999389629810485"/>
  </sheetPr>
  <dimension ref="B2:G39"/>
  <sheetViews>
    <sheetView zoomScale="115" zoomScaleNormal="115" workbookViewId="0">
      <selection activeCell="C4" sqref="C4"/>
    </sheetView>
  </sheetViews>
  <sheetFormatPr defaultRowHeight="15" x14ac:dyDescent="0.25"/>
  <cols>
    <col min="1" max="1" width="3" customWidth="1"/>
    <col min="2" max="2" width="34.140625" style="1" customWidth="1"/>
    <col min="3" max="3" width="9.5703125" bestFit="1" customWidth="1"/>
    <col min="4" max="4" width="5.5703125" customWidth="1"/>
    <col min="5" max="5" width="8.140625" style="4" customWidth="1"/>
    <col min="6" max="6" width="13" style="4" customWidth="1"/>
    <col min="7" max="7" width="16.85546875" style="4" bestFit="1" customWidth="1"/>
  </cols>
  <sheetData>
    <row r="2" spans="2:7" ht="15.75" thickBot="1" x14ac:dyDescent="0.3">
      <c r="E2" s="56" t="s">
        <v>52</v>
      </c>
      <c r="F2" s="56"/>
      <c r="G2" s="56"/>
    </row>
    <row r="3" spans="2:7" ht="32.25" customHeight="1" thickBot="1" x14ac:dyDescent="0.3">
      <c r="B3" s="37" t="s">
        <v>53</v>
      </c>
      <c r="C3" s="38" t="s">
        <v>54</v>
      </c>
      <c r="E3" s="11" t="str">
        <f>IF(SystemSlope=0,"LEVEL BED","PAIR")</f>
        <v>LEVEL BED</v>
      </c>
      <c r="F3" s="11" t="s">
        <v>55</v>
      </c>
      <c r="G3" s="11" t="s">
        <v>56</v>
      </c>
    </row>
    <row r="4" spans="2:7" x14ac:dyDescent="0.25">
      <c r="B4" s="39" t="s">
        <v>57</v>
      </c>
      <c r="C4" s="36">
        <v>100</v>
      </c>
      <c r="E4" s="12" t="str">
        <f>IF(SystemSlope=0,"",1)</f>
        <v/>
      </c>
      <c r="F4" s="34">
        <f>BottHighestRow</f>
        <v>100</v>
      </c>
      <c r="G4" s="34">
        <f>CEILING(BottHighestRow+0.71875,0.01)</f>
        <v>100.72</v>
      </c>
    </row>
    <row r="5" spans="2:7" x14ac:dyDescent="0.25">
      <c r="B5" s="40" t="s">
        <v>58</v>
      </c>
      <c r="C5" s="23">
        <f>C4+1.0625</f>
        <v>101.0625</v>
      </c>
      <c r="E5" s="12" t="str">
        <f t="shared" ref="E5:E28" si="0">IFERROR(IF(AND(SystemSlope&gt;0,NumRows/2&gt;E4),$E$4+E4,""),"")</f>
        <v/>
      </c>
      <c r="F5" s="34" t="str">
        <f t="shared" ref="F5:F39" si="1">IF(E5="","",F4-(SystemSlope/100)*2*0.6875)</f>
        <v/>
      </c>
      <c r="G5" s="34" t="str">
        <f>IF(E5="","",CEILING(F5+0.71875,0.01))</f>
        <v/>
      </c>
    </row>
    <row r="6" spans="2:7" x14ac:dyDescent="0.25">
      <c r="B6" s="40" t="s">
        <v>59</v>
      </c>
      <c r="C6" s="22">
        <f>CEILING(C5+0.5,0.01)</f>
        <v>101.57000000000001</v>
      </c>
      <c r="D6" s="14" t="s">
        <v>22</v>
      </c>
      <c r="E6" s="12" t="str">
        <f t="shared" si="0"/>
        <v/>
      </c>
      <c r="F6" s="34" t="str">
        <f t="shared" si="1"/>
        <v/>
      </c>
      <c r="G6" s="34" t="str">
        <f t="shared" ref="G6:G20" si="2">IF(E6="","",CEILING(F6+0.71875,0.01))</f>
        <v/>
      </c>
    </row>
    <row r="7" spans="2:7" x14ac:dyDescent="0.25">
      <c r="B7" s="40" t="s">
        <v>60</v>
      </c>
      <c r="C7" s="24">
        <f>C4-0.5</f>
        <v>99.5</v>
      </c>
      <c r="E7" s="12" t="str">
        <f t="shared" si="0"/>
        <v/>
      </c>
      <c r="F7" s="34" t="str">
        <f t="shared" si="1"/>
        <v/>
      </c>
      <c r="G7" s="34" t="str">
        <f t="shared" si="2"/>
        <v/>
      </c>
    </row>
    <row r="8" spans="2:7" x14ac:dyDescent="0.25">
      <c r="B8" s="40" t="s">
        <v>61</v>
      </c>
      <c r="C8" s="35" t="str">
        <f>Layout</f>
        <v>P</v>
      </c>
      <c r="E8" s="12" t="str">
        <f t="shared" si="0"/>
        <v/>
      </c>
      <c r="F8" s="34" t="str">
        <f t="shared" si="1"/>
        <v/>
      </c>
      <c r="G8" s="34" t="str">
        <f t="shared" si="2"/>
        <v/>
      </c>
    </row>
    <row r="9" spans="2:7" x14ac:dyDescent="0.25">
      <c r="B9" s="40" t="s">
        <v>62</v>
      </c>
      <c r="C9" s="22">
        <f>SystemSlope</f>
        <v>0</v>
      </c>
      <c r="D9" t="s">
        <v>6</v>
      </c>
      <c r="E9" s="12" t="str">
        <f t="shared" si="0"/>
        <v/>
      </c>
      <c r="F9" s="34" t="str">
        <f t="shared" si="1"/>
        <v/>
      </c>
      <c r="G9" s="34" t="str">
        <f t="shared" si="2"/>
        <v/>
      </c>
    </row>
    <row r="10" spans="2:7" x14ac:dyDescent="0.25">
      <c r="B10" s="40" t="s">
        <v>63</v>
      </c>
      <c r="C10" s="22">
        <f>NumRows</f>
        <v>12</v>
      </c>
      <c r="E10" s="12" t="str">
        <f t="shared" si="0"/>
        <v/>
      </c>
      <c r="F10" s="34" t="str">
        <f t="shared" si="1"/>
        <v/>
      </c>
      <c r="G10" s="34" t="str">
        <f t="shared" si="2"/>
        <v/>
      </c>
    </row>
    <row r="11" spans="2:7" ht="15.75" thickBot="1" x14ac:dyDescent="0.3">
      <c r="B11" s="41" t="s">
        <v>64</v>
      </c>
      <c r="C11" s="25">
        <f>SectionsUsed</f>
        <v>0</v>
      </c>
      <c r="E11" s="12" t="str">
        <f t="shared" si="0"/>
        <v/>
      </c>
      <c r="F11" s="34" t="str">
        <f t="shared" si="1"/>
        <v/>
      </c>
      <c r="G11" s="34" t="str">
        <f t="shared" si="2"/>
        <v/>
      </c>
    </row>
    <row r="12" spans="2:7" x14ac:dyDescent="0.25">
      <c r="E12" s="12" t="str">
        <f t="shared" si="0"/>
        <v/>
      </c>
      <c r="F12" s="34" t="str">
        <f t="shared" si="1"/>
        <v/>
      </c>
      <c r="G12" s="34" t="str">
        <f t="shared" si="2"/>
        <v/>
      </c>
    </row>
    <row r="13" spans="2:7" x14ac:dyDescent="0.25">
      <c r="E13" s="12" t="str">
        <f t="shared" si="0"/>
        <v/>
      </c>
      <c r="F13" s="34" t="str">
        <f t="shared" si="1"/>
        <v/>
      </c>
      <c r="G13" s="34" t="str">
        <f t="shared" si="2"/>
        <v/>
      </c>
    </row>
    <row r="14" spans="2:7" x14ac:dyDescent="0.25">
      <c r="E14" s="12" t="str">
        <f t="shared" si="0"/>
        <v/>
      </c>
      <c r="F14" s="34" t="str">
        <f t="shared" si="1"/>
        <v/>
      </c>
      <c r="G14" s="34" t="str">
        <f t="shared" si="2"/>
        <v/>
      </c>
    </row>
    <row r="15" spans="2:7" x14ac:dyDescent="0.25">
      <c r="E15" s="12" t="str">
        <f t="shared" si="0"/>
        <v/>
      </c>
      <c r="F15" s="34" t="str">
        <f t="shared" si="1"/>
        <v/>
      </c>
      <c r="G15" s="34" t="str">
        <f t="shared" si="2"/>
        <v/>
      </c>
    </row>
    <row r="16" spans="2:7" x14ac:dyDescent="0.25">
      <c r="E16" s="12" t="str">
        <f t="shared" si="0"/>
        <v/>
      </c>
      <c r="F16" s="34" t="str">
        <f t="shared" si="1"/>
        <v/>
      </c>
      <c r="G16" s="34" t="str">
        <f t="shared" si="2"/>
        <v/>
      </c>
    </row>
    <row r="17" spans="5:7" x14ac:dyDescent="0.25">
      <c r="E17" s="12" t="str">
        <f t="shared" si="0"/>
        <v/>
      </c>
      <c r="F17" s="34" t="str">
        <f t="shared" si="1"/>
        <v/>
      </c>
      <c r="G17" s="34" t="str">
        <f t="shared" si="2"/>
        <v/>
      </c>
    </row>
    <row r="18" spans="5:7" x14ac:dyDescent="0.25">
      <c r="E18" s="12" t="str">
        <f t="shared" si="0"/>
        <v/>
      </c>
      <c r="F18" s="34" t="str">
        <f t="shared" si="1"/>
        <v/>
      </c>
      <c r="G18" s="34" t="str">
        <f t="shared" si="2"/>
        <v/>
      </c>
    </row>
    <row r="19" spans="5:7" x14ac:dyDescent="0.25">
      <c r="E19" s="12" t="str">
        <f t="shared" si="0"/>
        <v/>
      </c>
      <c r="F19" s="34" t="str">
        <f t="shared" si="1"/>
        <v/>
      </c>
      <c r="G19" s="34" t="str">
        <f t="shared" si="2"/>
        <v/>
      </c>
    </row>
    <row r="20" spans="5:7" x14ac:dyDescent="0.25">
      <c r="E20" s="12" t="str">
        <f t="shared" si="0"/>
        <v/>
      </c>
      <c r="F20" s="34" t="str">
        <f t="shared" si="1"/>
        <v/>
      </c>
      <c r="G20" s="34" t="str">
        <f t="shared" si="2"/>
        <v/>
      </c>
    </row>
    <row r="21" spans="5:7" x14ac:dyDescent="0.25">
      <c r="E21" s="12" t="str">
        <f t="shared" si="0"/>
        <v/>
      </c>
      <c r="F21" s="34" t="str">
        <f t="shared" si="1"/>
        <v/>
      </c>
      <c r="G21" s="34" t="str">
        <f t="shared" ref="G21:G28" si="3">IF(E21="","",CEILING(G20+0.71875,0.01))</f>
        <v/>
      </c>
    </row>
    <row r="22" spans="5:7" x14ac:dyDescent="0.25">
      <c r="E22" s="12" t="str">
        <f t="shared" si="0"/>
        <v/>
      </c>
      <c r="F22" s="34" t="str">
        <f t="shared" si="1"/>
        <v/>
      </c>
      <c r="G22" s="34" t="str">
        <f t="shared" si="3"/>
        <v/>
      </c>
    </row>
    <row r="23" spans="5:7" x14ac:dyDescent="0.25">
      <c r="E23" s="12" t="str">
        <f t="shared" si="0"/>
        <v/>
      </c>
      <c r="F23" s="34" t="str">
        <f t="shared" si="1"/>
        <v/>
      </c>
      <c r="G23" s="34" t="str">
        <f t="shared" si="3"/>
        <v/>
      </c>
    </row>
    <row r="24" spans="5:7" x14ac:dyDescent="0.25">
      <c r="E24" s="12" t="str">
        <f t="shared" si="0"/>
        <v/>
      </c>
      <c r="F24" s="34" t="str">
        <f t="shared" si="1"/>
        <v/>
      </c>
      <c r="G24" s="34" t="str">
        <f t="shared" si="3"/>
        <v/>
      </c>
    </row>
    <row r="25" spans="5:7" x14ac:dyDescent="0.25">
      <c r="E25" s="12" t="str">
        <f t="shared" si="0"/>
        <v/>
      </c>
      <c r="F25" s="34" t="str">
        <f t="shared" si="1"/>
        <v/>
      </c>
      <c r="G25" s="34" t="str">
        <f t="shared" si="3"/>
        <v/>
      </c>
    </row>
    <row r="26" spans="5:7" x14ac:dyDescent="0.25">
      <c r="E26" s="12" t="str">
        <f t="shared" si="0"/>
        <v/>
      </c>
      <c r="F26" s="34" t="str">
        <f t="shared" si="1"/>
        <v/>
      </c>
      <c r="G26" s="34" t="str">
        <f t="shared" si="3"/>
        <v/>
      </c>
    </row>
    <row r="27" spans="5:7" x14ac:dyDescent="0.25">
      <c r="E27" s="12" t="str">
        <f t="shared" si="0"/>
        <v/>
      </c>
      <c r="F27" s="34" t="str">
        <f t="shared" si="1"/>
        <v/>
      </c>
      <c r="G27" s="34" t="str">
        <f t="shared" si="3"/>
        <v/>
      </c>
    </row>
    <row r="28" spans="5:7" x14ac:dyDescent="0.25">
      <c r="E28" s="12" t="str">
        <f t="shared" si="0"/>
        <v/>
      </c>
      <c r="F28" s="34" t="str">
        <f t="shared" si="1"/>
        <v/>
      </c>
      <c r="G28" s="34" t="str">
        <f t="shared" si="3"/>
        <v/>
      </c>
    </row>
    <row r="29" spans="5:7" x14ac:dyDescent="0.25">
      <c r="E29" s="48"/>
      <c r="F29" s="49" t="str">
        <f t="shared" si="1"/>
        <v/>
      </c>
      <c r="G29" s="48"/>
    </row>
    <row r="30" spans="5:7" x14ac:dyDescent="0.25">
      <c r="E30" s="48"/>
      <c r="F30" s="49" t="str">
        <f t="shared" si="1"/>
        <v/>
      </c>
      <c r="G30" s="48"/>
    </row>
    <row r="31" spans="5:7" x14ac:dyDescent="0.25">
      <c r="E31" s="48"/>
      <c r="F31" s="49" t="str">
        <f t="shared" si="1"/>
        <v/>
      </c>
      <c r="G31" s="48"/>
    </row>
    <row r="32" spans="5:7" x14ac:dyDescent="0.25">
      <c r="E32" s="48"/>
      <c r="F32" s="49" t="str">
        <f t="shared" si="1"/>
        <v/>
      </c>
      <c r="G32" s="48"/>
    </row>
    <row r="33" spans="5:7" x14ac:dyDescent="0.25">
      <c r="E33" s="48"/>
      <c r="F33" s="49" t="str">
        <f t="shared" si="1"/>
        <v/>
      </c>
      <c r="G33" s="48"/>
    </row>
    <row r="34" spans="5:7" x14ac:dyDescent="0.25">
      <c r="E34" s="48"/>
      <c r="F34" s="49" t="str">
        <f t="shared" si="1"/>
        <v/>
      </c>
      <c r="G34" s="48"/>
    </row>
    <row r="35" spans="5:7" x14ac:dyDescent="0.25">
      <c r="E35" s="48"/>
      <c r="F35" s="49" t="str">
        <f t="shared" si="1"/>
        <v/>
      </c>
      <c r="G35" s="48"/>
    </row>
    <row r="36" spans="5:7" x14ac:dyDescent="0.25">
      <c r="E36" s="48"/>
      <c r="F36" s="49" t="str">
        <f t="shared" si="1"/>
        <v/>
      </c>
      <c r="G36" s="48"/>
    </row>
    <row r="37" spans="5:7" x14ac:dyDescent="0.25">
      <c r="E37" s="48"/>
      <c r="F37" s="49" t="str">
        <f t="shared" si="1"/>
        <v/>
      </c>
      <c r="G37" s="48"/>
    </row>
    <row r="38" spans="5:7" x14ac:dyDescent="0.25">
      <c r="E38" s="48"/>
      <c r="F38" s="49" t="str">
        <f t="shared" si="1"/>
        <v/>
      </c>
      <c r="G38" s="48"/>
    </row>
    <row r="39" spans="5:7" x14ac:dyDescent="0.25">
      <c r="E39" s="48"/>
      <c r="F39" s="49" t="str">
        <f t="shared" si="1"/>
        <v/>
      </c>
      <c r="G39" s="48"/>
    </row>
  </sheetData>
  <sheetProtection sheet="1" objects="1" scenarios="1"/>
  <mergeCells count="1">
    <mergeCell ref="E2:G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CBC7E-3891-4018-8ECD-B5101B5D5C4B}">
  <sheetPr codeName="Sheet3"/>
  <dimension ref="B3:C63"/>
  <sheetViews>
    <sheetView workbookViewId="0"/>
  </sheetViews>
  <sheetFormatPr defaultRowHeight="15" x14ac:dyDescent="0.25"/>
  <cols>
    <col min="1" max="1" width="4.28515625" customWidth="1"/>
    <col min="2" max="2" width="11.140625" customWidth="1"/>
    <col min="3" max="3" width="9.140625" style="2"/>
  </cols>
  <sheetData>
    <row r="3" spans="2:3" ht="56.25" customHeight="1" x14ac:dyDescent="0.25">
      <c r="B3" s="3" t="s">
        <v>65</v>
      </c>
      <c r="C3" s="5" t="s">
        <v>66</v>
      </c>
    </row>
    <row r="4" spans="2:3" x14ac:dyDescent="0.25">
      <c r="B4" s="4">
        <v>1</v>
      </c>
      <c r="C4" s="2">
        <v>0.84</v>
      </c>
    </row>
    <row r="5" spans="2:3" x14ac:dyDescent="0.25">
      <c r="B5" s="2">
        <v>2</v>
      </c>
      <c r="C5" s="2">
        <v>1.1200000000000001</v>
      </c>
    </row>
    <row r="6" spans="2:3" x14ac:dyDescent="0.25">
      <c r="B6" s="2">
        <v>3</v>
      </c>
      <c r="C6" s="2">
        <v>1.1200000000000001</v>
      </c>
    </row>
    <row r="7" spans="2:3" x14ac:dyDescent="0.25">
      <c r="B7" s="4">
        <v>4</v>
      </c>
      <c r="C7" s="2">
        <v>1.34</v>
      </c>
    </row>
    <row r="8" spans="2:3" x14ac:dyDescent="0.25">
      <c r="B8" s="2">
        <v>5</v>
      </c>
      <c r="C8" s="2">
        <v>1.34</v>
      </c>
    </row>
    <row r="9" spans="2:3" x14ac:dyDescent="0.25">
      <c r="B9" s="2">
        <v>6</v>
      </c>
      <c r="C9" s="2">
        <v>1.34</v>
      </c>
    </row>
    <row r="10" spans="2:3" x14ac:dyDescent="0.25">
      <c r="B10" s="4">
        <v>7</v>
      </c>
      <c r="C10" s="2">
        <v>1.1200000000000001</v>
      </c>
    </row>
    <row r="11" spans="2:3" x14ac:dyDescent="0.25">
      <c r="B11" s="2">
        <v>8</v>
      </c>
      <c r="C11" s="2">
        <v>0.84</v>
      </c>
    </row>
    <row r="12" spans="2:3" x14ac:dyDescent="0.25">
      <c r="B12" s="2">
        <v>9</v>
      </c>
      <c r="C12" s="2">
        <v>0.56000000000000005</v>
      </c>
    </row>
    <row r="13" spans="2:3" x14ac:dyDescent="0.25">
      <c r="B13" s="4"/>
    </row>
    <row r="14" spans="2:3" x14ac:dyDescent="0.25">
      <c r="B14" s="2"/>
    </row>
    <row r="15" spans="2:3" x14ac:dyDescent="0.25">
      <c r="B15" s="2"/>
    </row>
    <row r="16" spans="2:3" x14ac:dyDescent="0.25">
      <c r="B16" s="4"/>
    </row>
    <row r="17" spans="2:2" x14ac:dyDescent="0.25">
      <c r="B17" s="2"/>
    </row>
    <row r="18" spans="2:2" x14ac:dyDescent="0.25">
      <c r="B18" s="2"/>
    </row>
    <row r="19" spans="2:2" x14ac:dyDescent="0.25">
      <c r="B19" s="4"/>
    </row>
    <row r="20" spans="2:2" x14ac:dyDescent="0.25">
      <c r="B20" s="2"/>
    </row>
    <row r="21" spans="2:2" x14ac:dyDescent="0.25">
      <c r="B21" s="2"/>
    </row>
    <row r="22" spans="2:2" x14ac:dyDescent="0.25">
      <c r="B22" s="4"/>
    </row>
    <row r="23" spans="2:2" x14ac:dyDescent="0.25">
      <c r="B23" s="2"/>
    </row>
    <row r="24" spans="2:2" x14ac:dyDescent="0.25">
      <c r="B24" s="2"/>
    </row>
    <row r="25" spans="2:2" x14ac:dyDescent="0.25">
      <c r="B25" s="4"/>
    </row>
    <row r="26" spans="2:2" x14ac:dyDescent="0.25">
      <c r="B26" s="2"/>
    </row>
    <row r="27" spans="2:2" x14ac:dyDescent="0.25">
      <c r="B27" s="2"/>
    </row>
    <row r="28" spans="2:2" x14ac:dyDescent="0.25">
      <c r="B28" s="4"/>
    </row>
    <row r="29" spans="2:2" x14ac:dyDescent="0.25">
      <c r="B29" s="2"/>
    </row>
    <row r="30" spans="2:2" x14ac:dyDescent="0.25">
      <c r="B30" s="2"/>
    </row>
    <row r="31" spans="2:2" x14ac:dyDescent="0.25">
      <c r="B31" s="4"/>
    </row>
    <row r="32" spans="2:2" x14ac:dyDescent="0.25">
      <c r="B32" s="2"/>
    </row>
    <row r="33" spans="2:2" x14ac:dyDescent="0.25">
      <c r="B33" s="2"/>
    </row>
    <row r="34" spans="2:2" x14ac:dyDescent="0.25">
      <c r="B34" s="4"/>
    </row>
    <row r="35" spans="2:2" x14ac:dyDescent="0.25">
      <c r="B35" s="2"/>
    </row>
    <row r="36" spans="2:2" x14ac:dyDescent="0.25">
      <c r="B36" s="2"/>
    </row>
    <row r="37" spans="2:2" x14ac:dyDescent="0.25">
      <c r="B37" s="4"/>
    </row>
    <row r="38" spans="2:2" x14ac:dyDescent="0.25">
      <c r="B38" s="2"/>
    </row>
    <row r="39" spans="2:2" x14ac:dyDescent="0.25">
      <c r="B39" s="2"/>
    </row>
    <row r="40" spans="2:2" x14ac:dyDescent="0.25">
      <c r="B40" s="4"/>
    </row>
    <row r="41" spans="2:2" x14ac:dyDescent="0.25">
      <c r="B41" s="2"/>
    </row>
    <row r="42" spans="2:2" x14ac:dyDescent="0.25">
      <c r="B42" s="2"/>
    </row>
    <row r="43" spans="2:2" x14ac:dyDescent="0.25">
      <c r="B43" s="4"/>
    </row>
    <row r="44" spans="2:2" x14ac:dyDescent="0.25">
      <c r="B44" s="2"/>
    </row>
    <row r="45" spans="2:2" x14ac:dyDescent="0.25">
      <c r="B45" s="2"/>
    </row>
    <row r="46" spans="2:2" x14ac:dyDescent="0.25">
      <c r="B46" s="4"/>
    </row>
    <row r="47" spans="2:2" x14ac:dyDescent="0.25">
      <c r="B47" s="2"/>
    </row>
    <row r="48" spans="2:2" x14ac:dyDescent="0.25">
      <c r="B48" s="2"/>
    </row>
    <row r="49" spans="2:2" x14ac:dyDescent="0.25">
      <c r="B49" s="4"/>
    </row>
    <row r="50" spans="2:2" x14ac:dyDescent="0.25">
      <c r="B50" s="2"/>
    </row>
    <row r="51" spans="2:2" x14ac:dyDescent="0.25">
      <c r="B51" s="2"/>
    </row>
    <row r="52" spans="2:2" x14ac:dyDescent="0.25">
      <c r="B52" s="4"/>
    </row>
    <row r="53" spans="2:2" x14ac:dyDescent="0.25">
      <c r="B53" s="2"/>
    </row>
    <row r="54" spans="2:2" x14ac:dyDescent="0.25">
      <c r="B54" s="2"/>
    </row>
    <row r="55" spans="2:2" x14ac:dyDescent="0.25">
      <c r="B55" s="4"/>
    </row>
    <row r="56" spans="2:2" x14ac:dyDescent="0.25">
      <c r="B56" s="2"/>
    </row>
    <row r="57" spans="2:2" x14ac:dyDescent="0.25">
      <c r="B57" s="2"/>
    </row>
    <row r="58" spans="2:2" x14ac:dyDescent="0.25">
      <c r="B58" s="4"/>
    </row>
    <row r="59" spans="2:2" x14ac:dyDescent="0.25">
      <c r="B59" s="2"/>
    </row>
    <row r="60" spans="2:2" x14ac:dyDescent="0.25">
      <c r="B60" s="2"/>
    </row>
    <row r="61" spans="2:2" x14ac:dyDescent="0.25">
      <c r="B61" s="4"/>
    </row>
    <row r="62" spans="2:2" x14ac:dyDescent="0.25">
      <c r="B62" s="2"/>
    </row>
    <row r="63" spans="2:2" x14ac:dyDescent="0.25">
      <c r="B63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B5C840624BDD4D87F134000C244D44" ma:contentTypeVersion="25" ma:contentTypeDescription="Create a new document." ma:contentTypeScope="" ma:versionID="723eee4425924f5bd7de4f00e5058874">
  <xsd:schema xmlns:xsd="http://www.w3.org/2001/XMLSchema" xmlns:xs="http://www.w3.org/2001/XMLSchema" xmlns:p="http://schemas.microsoft.com/office/2006/metadata/properties" xmlns:ns2="69120616-4a8f-45bd-b06e-509c916ac112" xmlns:ns3="d4e4da4f-a0e3-4b3b-bde7-e8fb2207d2ce" targetNamespace="http://schemas.microsoft.com/office/2006/metadata/properties" ma:root="true" ma:fieldsID="dcf08ab79f6f1de6d79d8f02705d02af" ns2:_="" ns3:_="">
    <xsd:import namespace="69120616-4a8f-45bd-b06e-509c916ac112"/>
    <xsd:import namespace="d4e4da4f-a0e3-4b3b-bde7-e8fb2207d2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120616-4a8f-45bd-b06e-509c916ac1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64339e1-a024-4bf1-9a5b-b5f89841db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e4da4f-a0e3-4b3b-bde7-e8fb2207d2c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c82b7ca-88c6-46f1-b6e4-3ceb241b0aa0}" ma:internalName="TaxCatchAll" ma:showField="CatchAllData" ma:web="d4e4da4f-a0e3-4b3b-bde7-e8fb2207d2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B40F8D-F6F5-4138-AFE8-4F1BA2D6AC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120616-4a8f-45bd-b06e-509c916ac112"/>
    <ds:schemaRef ds:uri="d4e4da4f-a0e3-4b3b-bde7-e8fb2207d2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64CF6C-1A12-48FE-A460-937436ECA1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25</vt:i4>
      </vt:variant>
    </vt:vector>
  </HeadingPairs>
  <TitlesOfParts>
    <vt:vector size="28" baseType="lpstr">
      <vt:lpstr>Design</vt:lpstr>
      <vt:lpstr>Elevations</vt:lpstr>
      <vt:lpstr>Profile→SLR</vt:lpstr>
      <vt:lpstr>BottHighestRow</vt:lpstr>
      <vt:lpstr>Commercial</vt:lpstr>
      <vt:lpstr>ConduitReqd</vt:lpstr>
      <vt:lpstr>DailyFlow</vt:lpstr>
      <vt:lpstr>Difference</vt:lpstr>
      <vt:lpstr>Layout</vt:lpstr>
      <vt:lpstr>NumManifolds</vt:lpstr>
      <vt:lpstr>NumRows</vt:lpstr>
      <vt:lpstr>PercRate</vt:lpstr>
      <vt:lpstr>PLW</vt:lpstr>
      <vt:lpstr>ProfileToSLR</vt:lpstr>
      <vt:lpstr>Pumping</vt:lpstr>
      <vt:lpstr>RowLength</vt:lpstr>
      <vt:lpstr>RowPerSection</vt:lpstr>
      <vt:lpstr>SandAreaReqd</vt:lpstr>
      <vt:lpstr>SandBedLength</vt:lpstr>
      <vt:lpstr>SandBedWidthMin</vt:lpstr>
      <vt:lpstr>SandExt</vt:lpstr>
      <vt:lpstr>SandMultiplier</vt:lpstr>
      <vt:lpstr>SectionsReqd</vt:lpstr>
      <vt:lpstr>SectionsUsed</vt:lpstr>
      <vt:lpstr>SectionsUsedTable</vt:lpstr>
      <vt:lpstr>SectTableTest4Even</vt:lpstr>
      <vt:lpstr>SLR</vt:lpstr>
      <vt:lpstr>SystemSlope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Dennis Fogg</dc:creator>
  <cp:keywords/>
  <dc:description/>
  <cp:lastModifiedBy>Dennis Fogg</cp:lastModifiedBy>
  <cp:revision/>
  <dcterms:created xsi:type="dcterms:W3CDTF">2023-02-16T13:18:51Z</dcterms:created>
  <dcterms:modified xsi:type="dcterms:W3CDTF">2023-06-08T12:45:45Z</dcterms:modified>
  <cp:category/>
  <cp:contentStatus/>
</cp:coreProperties>
</file>